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loor Planner" sheetId="2" state="visible" r:id="rId2"/>
    <sheet xmlns:r="http://schemas.openxmlformats.org/officeDocument/2006/relationships" name="Membership Base Load" sheetId="3" state="visible" r:id="rId3"/>
    <sheet xmlns:r="http://schemas.openxmlformats.org/officeDocument/2006/relationships" name="Your Floor Repo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;($#,##0);-"/>
    <numFmt numFmtId="165" formatCode="0%;(0%);-"/>
    <numFmt numFmtId="166" formatCode="0.0&quot;x&quot;"/>
    <numFmt numFmtId="167" formatCode="#,##0;(#,##0);-"/>
    <numFmt numFmtId="168" formatCode="$#,##0.00;($#,##0.00);-"/>
    <numFmt numFmtId="169" formatCode="mm/dd/yyyy"/>
  </numFmts>
  <fonts count="2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10"/>
    </font>
    <font>
      <name val="Arial"/>
      <b val="1"/>
      <color rgb="001F2A44"/>
      <sz val="11"/>
    </font>
    <font>
      <name val="Arial"/>
      <b val="1"/>
      <color rgb="001F2A44"/>
    </font>
    <font>
      <name val="Arial"/>
      <b val="1"/>
    </font>
    <font>
      <name val="Arial"/>
    </font>
    <font>
      <name val="Arial"/>
      <b val="1"/>
      <color rgb="000000FF"/>
    </font>
    <font>
      <name val="Arial"/>
      <i val="1"/>
      <color rgb="00808080"/>
      <sz val="9"/>
    </font>
    <font>
      <name val="Arial"/>
      <color rgb="000000FF"/>
    </font>
    <font>
      <name val="Arial"/>
      <b val="1"/>
      <color rgb="00C00000"/>
    </font>
    <font>
      <name val="Arial"/>
      <color rgb="00808080"/>
    </font>
    <font>
      <name val="Arial"/>
      <b val="1"/>
      <color rgb="00000000"/>
      <sz val="13"/>
    </font>
    <font>
      <name val="Arial"/>
      <color rgb="00000000"/>
      <sz val="10"/>
    </font>
    <font>
      <name val="Arial"/>
      <b val="1"/>
      <color rgb="00FFFFFF"/>
    </font>
    <font>
      <name val="Arial"/>
      <b val="1"/>
      <color rgb="00000000"/>
      <sz val="10"/>
    </font>
    <font>
      <name val="Arial"/>
      <b val="1"/>
      <color rgb="00FFFFFF"/>
      <sz val="9"/>
    </font>
    <font>
      <name val="Arial"/>
      <color rgb="00008000"/>
      <sz val="10"/>
    </font>
    <font>
      <name val="Arial"/>
      <b val="1"/>
      <color rgb="001F2A44"/>
      <sz val="13"/>
    </font>
    <font>
      <name val="Arial"/>
      <color rgb="00808080"/>
      <sz val="8"/>
    </font>
    <font>
      <name val="Arial"/>
      <i val="1"/>
    </font>
    <font>
      <name val="Arial"/>
      <sz val="9"/>
    </font>
    <font>
      <name val="Arial"/>
      <b val="1"/>
      <color rgb="00008000"/>
    </font>
    <font>
      <name val="Arial"/>
      <color rgb="00000000"/>
      <sz val="9"/>
    </font>
    <font>
      <name val="Arial"/>
      <color rgb="00808080"/>
      <sz val="9"/>
    </font>
    <font>
      <name val="Arial"/>
      <b val="1"/>
      <color rgb="001F2A44"/>
      <sz val="12"/>
    </font>
    <font>
      <name val="Arial"/>
      <b val="1"/>
      <color rgb="002E7D32"/>
    </font>
    <font>
      <name val="Arial"/>
      <b val="1"/>
      <color rgb="000000FF"/>
      <sz val="12"/>
      <u val="single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59D"/>
      </patternFill>
    </fill>
    <fill>
      <patternFill patternType="solid">
        <fgColor rgb="00FFF9C4"/>
      </patternFill>
    </fill>
  </fills>
  <borders count="3">
    <border>
      <left/>
      <right/>
      <top/>
      <bottom/>
      <diagonal/>
    </border>
    <border>
      <bottom style="medium">
        <color rgb="00FFE600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3" fillId="0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7" fillId="3" borderId="0" applyAlignment="1" pivotButton="0" quotePrefix="0" xfId="0">
      <alignment vertical="top"/>
    </xf>
    <xf numFmtId="0" fontId="8" fillId="0" borderId="0" pivotButton="0" quotePrefix="0" xfId="0"/>
    <xf numFmtId="0" fontId="6" fillId="0" borderId="0" applyAlignment="1" pivotButton="0" quotePrefix="0" xfId="0">
      <alignment vertical="center" wrapText="1"/>
    </xf>
    <xf numFmtId="0" fontId="9" fillId="3" borderId="2" pivotButton="0" quotePrefix="0" xfId="0"/>
    <xf numFmtId="164" fontId="9" fillId="3" borderId="2" pivotButton="0" quotePrefix="0" xfId="0"/>
    <xf numFmtId="164" fontId="11" fillId="0" borderId="0" pivotButton="0" quotePrefix="0" xfId="0"/>
    <xf numFmtId="165" fontId="9" fillId="3" borderId="2" pivotButton="0" quotePrefix="0" xfId="0"/>
    <xf numFmtId="0" fontId="10" fillId="0" borderId="0" pivotButton="0" quotePrefix="0" xfId="0"/>
    <xf numFmtId="0" fontId="5" fillId="0" borderId="0" applyAlignment="1" pivotButton="0" quotePrefix="0" xfId="0">
      <alignment vertical="center" wrapText="1"/>
    </xf>
    <xf numFmtId="0" fontId="12" fillId="0" borderId="2" applyAlignment="1" pivotButton="0" quotePrefix="0" xfId="0">
      <alignment vertical="center"/>
    </xf>
    <xf numFmtId="164" fontId="13" fillId="0" borderId="2" applyAlignment="1" pivotButton="0" quotePrefix="0" xfId="0">
      <alignment vertical="center"/>
    </xf>
    <xf numFmtId="166" fontId="12" fillId="0" borderId="2" applyAlignment="1" pivotButton="0" quotePrefix="0" xfId="0">
      <alignment vertical="center"/>
    </xf>
    <xf numFmtId="165" fontId="12" fillId="0" borderId="2" applyAlignment="1" pivotButton="0" quotePrefix="0" xfId="0">
      <alignment vertical="center"/>
    </xf>
    <xf numFmtId="0" fontId="14" fillId="2" borderId="0" applyAlignment="1" pivotButton="0" quotePrefix="0" xfId="0">
      <alignment horizontal="center"/>
    </xf>
    <xf numFmtId="167" fontId="15" fillId="0" borderId="2" applyAlignment="1" pivotButton="0" quotePrefix="0" xfId="0">
      <alignment vertical="center"/>
    </xf>
    <xf numFmtId="0" fontId="15" fillId="0" borderId="2" applyAlignment="1" pivotButton="0" quotePrefix="0" xfId="0">
      <alignment vertical="center"/>
    </xf>
    <xf numFmtId="164" fontId="15" fillId="0" borderId="2" applyAlignment="1" pivotButton="0" quotePrefix="0" xfId="0">
      <alignment vertical="center"/>
    </xf>
    <xf numFmtId="0" fontId="16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2" fontId="13" fillId="0" borderId="2" applyAlignment="1" pivotButton="0" quotePrefix="0" xfId="0">
      <alignment vertical="center"/>
    </xf>
    <xf numFmtId="0" fontId="13" fillId="0" borderId="2" applyAlignment="1" pivotButton="0" quotePrefix="0" xfId="0">
      <alignment vertical="center"/>
    </xf>
    <xf numFmtId="2" fontId="15" fillId="0" borderId="2" applyAlignment="1" pivotButton="0" quotePrefix="0" xfId="0">
      <alignment vertical="center"/>
    </xf>
    <xf numFmtId="2" fontId="9" fillId="0" borderId="2" pivotButton="0" quotePrefix="0" xfId="0"/>
    <xf numFmtId="168" fontId="9" fillId="3" borderId="2" pivotButton="0" quotePrefix="0" xfId="0"/>
    <xf numFmtId="167" fontId="9" fillId="3" borderId="2" pivotButton="0" quotePrefix="0" xfId="0"/>
    <xf numFmtId="164" fontId="17" fillId="0" borderId="2" applyAlignment="1" pivotButton="0" quotePrefix="0" xfId="0">
      <alignment vertical="center"/>
    </xf>
    <xf numFmtId="0" fontId="17" fillId="0" borderId="2" applyAlignment="1" pivotButton="0" quotePrefix="0" xfId="0">
      <alignment vertical="center"/>
    </xf>
    <xf numFmtId="168" fontId="12" fillId="0" borderId="2" applyAlignment="1" pivotButton="0" quotePrefix="0" xfId="0">
      <alignment vertical="center"/>
    </xf>
    <xf numFmtId="164" fontId="12" fillId="0" borderId="2" applyAlignment="1" pivotButton="0" quotePrefix="0" xfId="0">
      <alignment vertical="center"/>
    </xf>
    <xf numFmtId="167" fontId="13" fillId="0" borderId="2" applyAlignment="1" pivotButton="0" quotePrefix="0" xfId="0">
      <alignment vertical="center"/>
    </xf>
    <xf numFmtId="165" fontId="13" fillId="0" borderId="2" applyAlignment="1" pivotButton="0" quotePrefix="0" xfId="0">
      <alignment vertical="center"/>
    </xf>
    <xf numFmtId="0" fontId="18" fillId="4" borderId="0" applyAlignment="1" pivotButton="0" quotePrefix="0" xfId="0">
      <alignment vertical="center" wrapText="1"/>
    </xf>
    <xf numFmtId="167" fontId="17" fillId="0" borderId="2" applyAlignment="1" pivotButton="0" quotePrefix="0" xfId="0">
      <alignment vertical="center"/>
    </xf>
    <xf numFmtId="167" fontId="15" fillId="0" borderId="2" applyAlignment="1" pivotButton="0" quotePrefix="0" xfId="0">
      <alignment horizontal="center"/>
    </xf>
    <xf numFmtId="0" fontId="19" fillId="0" borderId="0" applyAlignment="1" pivotButton="0" quotePrefix="0" xfId="0">
      <alignment wrapText="1"/>
    </xf>
    <xf numFmtId="165" fontId="17" fillId="0" borderId="2" applyAlignment="1" pivotButton="0" quotePrefix="0" xfId="0">
      <alignment vertical="center"/>
    </xf>
    <xf numFmtId="167" fontId="12" fillId="0" borderId="2" applyAlignment="1" pivotButton="0" quotePrefix="0" xfId="0">
      <alignment vertical="center"/>
    </xf>
    <xf numFmtId="0" fontId="20" fillId="0" borderId="0" applyAlignment="1" pivotButton="0" quotePrefix="0" xfId="0">
      <alignment vertical="center" wrapText="1"/>
    </xf>
    <xf numFmtId="166" fontId="17" fillId="0" borderId="2" applyAlignment="1" pivotButton="0" quotePrefix="0" xfId="0">
      <alignment vertical="center"/>
    </xf>
    <xf numFmtId="0" fontId="21" fillId="0" borderId="0" applyAlignment="1" pivotButton="0" quotePrefix="0" xfId="0">
      <alignment vertical="center" wrapText="1"/>
    </xf>
    <xf numFmtId="0" fontId="22" fillId="0" borderId="0" pivotButton="0" quotePrefix="0" xfId="0"/>
    <xf numFmtId="0" fontId="23" fillId="0" borderId="0" pivotButton="0" quotePrefix="0" xfId="0"/>
    <xf numFmtId="0" fontId="24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25" fillId="4" borderId="0" applyAlignment="1" pivotButton="0" quotePrefix="0" xfId="0">
      <alignment vertical="center" wrapText="1"/>
    </xf>
    <xf numFmtId="0" fontId="26" fillId="0" borderId="0" pivotButton="0" quotePrefix="0" xfId="0"/>
    <xf numFmtId="0" fontId="27" fillId="0" borderId="0" pivotButton="0" quotePrefix="0" xfId="0"/>
    <xf numFmtId="0" fontId="20" fillId="0" borderId="0" applyAlignment="1" pivotButton="0" quotePrefix="0" xfId="0">
      <alignment wrapText="1"/>
    </xf>
    <xf numFmtId="169" fontId="9" fillId="3" borderId="2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/ (loss) after overhead, normal year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'Floor Planner'!Z32</f>
            </strRef>
          </tx>
          <spPr>
            <a:solidFill xmlns:a="http://schemas.openxmlformats.org/drawingml/2006/main">
              <a:srgbClr val="2E7D32"/>
            </a:solidFill>
            <a:ln xmlns:a="http://schemas.openxmlformats.org/drawingml/2006/main">
              <a:prstDash val="solid"/>
            </a:ln>
          </spPr>
          <cat>
            <numRef>
              <f>'Floor Planner'!$A$33:$A$44</f>
            </numRef>
          </cat>
          <val>
            <numRef>
              <f>'Floor Planner'!$Z$33:$Z$44</f>
            </numRef>
          </val>
        </ser>
        <ser>
          <idx val="1"/>
          <order val="1"/>
          <tx>
            <strRef>
              <f>'Floor Planner'!AA32</f>
            </strRef>
          </tx>
          <spPr>
            <a:solidFill xmlns:a="http://schemas.openxmlformats.org/drawingml/2006/main">
              <a:srgbClr val="C62828"/>
            </a:solidFill>
            <a:ln xmlns:a="http://schemas.openxmlformats.org/drawingml/2006/main">
              <a:prstDash val="solid"/>
            </a:ln>
          </spPr>
          <cat>
            <numRef>
              <f>'Floor Planner'!$A$33:$A$44</f>
            </numRef>
          </cat>
          <val>
            <numRef>
              <f>'Floor Planner'!$AA$33:$AA$44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in bank vs your cash floor</a:t>
            </a:r>
          </a:p>
        </rich>
      </tx>
    </title>
    <plotArea>
      <lineChart>
        <grouping val="standard"/>
        <ser>
          <idx val="0"/>
          <order val="0"/>
          <tx>
            <strRef>
              <f>'Floor Planner'!H32</f>
            </strRef>
          </tx>
          <spPr>
            <a:ln xmlns:a="http://schemas.openxmlformats.org/drawingml/2006/main">
              <a:solidFill>
                <a:srgbClr val="1F2A4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'Floor Planner'!$A$33:$A$44</f>
            </numRef>
          </cat>
          <val>
            <numRef>
              <f>'Floor Planner'!$H$33:$H$44</f>
            </numRef>
          </val>
        </ser>
        <ser>
          <idx val="1"/>
          <order val="1"/>
          <tx>
            <strRef>
              <f>'Floor Planner'!L32</f>
            </strRef>
          </tx>
          <spPr>
            <a:ln xmlns:a="http://schemas.openxmlformats.org/drawingml/2006/main">
              <a:solidFill>
                <a:srgbClr val="E6A7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'Floor Planner'!$A$33:$A$44</f>
            </numRef>
          </cat>
          <val>
            <numRef>
              <f>'Floor Planner'!$L$33:$L$44</f>
            </numRef>
          </val>
        </ser>
        <ser>
          <idx val="2"/>
          <order val="2"/>
          <tx>
            <strRef>
              <f>'Floor Planner'!AB32</f>
            </strRef>
          </tx>
          <spPr>
            <a:ln xmlns:a="http://schemas.openxmlformats.org/drawingml/2006/main">
              <a:solidFill>
                <a:srgbClr val="C6282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'Floor Planner'!$A$33:$A$44</f>
            </numRef>
          </cat>
          <val>
            <numRef>
              <f>'Floor Planner'!$AB$33:$AB$44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AutoBoss</author>
  </authors>
  <commentList>
    <comment ref="C6" authorId="0" shapeId="0">
      <text>
        <t>Your revenue goal for the next 12 months. No goal? Use last year's total.</t>
      </text>
    </comment>
    <comment ref="C7" authorId="0" shapeId="0">
      <text>
        <t>Everything you pay whether the phone rings or not: office payroll, rent, truck payments, insurance, software, marketing retainers, your own pay. Leave out job materials and equipment.</t>
      </text>
    </comment>
    <comment ref="C8" authorId="0" shapeId="0">
      <text>
        <t>Equipment, parts, materials, and tech labor on jobs, as a % of revenue. Your P&amp;L probably calls this Cost of Goods Sold.</t>
      </text>
    </comment>
    <comment ref="C10" authorId="0" shapeId="0">
      <text>
        <t>Your cash floor. The number where you start losing sleep. Many owners use one month of overhead.</t>
      </text>
    </comment>
    <comment ref="C11" authorId="0" shapeId="0">
      <text>
        <t>A mild summer or winter. How much lighter your busy months would be. 20% is a reasonable test.</t>
      </text>
    </comment>
    <comment ref="C12" authorId="0" shapeId="0">
      <text>
        <t>Pick the pattern closest to your shop. Best: pick 'My Own' and type last year's revenue by month in section 5.</t>
      </text>
    </comment>
  </commentList>
</comments>
</file>

<file path=xl/comments/comment2.xml><?xml version="1.0" encoding="utf-8"?>
<comments xmlns="http://schemas.openxmlformats.org/spreadsheetml/2006/main">
  <authors>
    <author>AutoBoss</author>
  </authors>
  <commentList>
    <comment ref="B5" authorId="0" shapeId="0">
      <text>
        <t>What a member pays per month. Annual plan? Divide the yearly price by 12.</t>
      </text>
    </comment>
    <comment ref="B6" authorId="0" shapeId="0">
      <text>
        <t>Tech time plus parts for the visits you promise (usually 2 tune-ups a year).</t>
      </text>
    </comment>
    <comment ref="B7" authorId="0" shapeId="0">
      <text>
        <t>Profit, not revenue, from repairs and upgrades members buy beyond the plan. Don't know it? Enter 0. The math still works, it just gets tougher.</t>
      </text>
    </comment>
    <comment ref="B9" authorId="0" shapeId="0">
      <text>
        <t>Every household you've done work for in the last 3 years. These are the people most likely to join.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13</col>
      <colOff>0</colOff>
      <row>3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20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https://www.autoboss.io/fix-kit/#audi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0" customWidth="1" min="3" max="3"/>
  </cols>
  <sheetData>
    <row r="1" ht="28" customHeight="1">
      <c r="A1" s="1" t="inlineStr">
        <is>
          <t>HVAC Feast-or-Famine Fix Kit</t>
        </is>
      </c>
      <c r="B1" s="2" t="n"/>
      <c r="C1" s="2" t="n"/>
    </row>
    <row r="2">
      <c r="A2" s="3" t="inlineStr">
        <is>
          <t>Fix the feast-or-famine cycle in 20 minutes on a spreadsheet, before you spend another dollar on leads.</t>
        </is>
      </c>
      <c r="B2" s="2" t="n"/>
      <c r="C2" s="2" t="n"/>
    </row>
    <row r="4">
      <c r="A4" s="4" t="n"/>
      <c r="B4" s="5" t="inlineStr">
        <is>
          <t>WHAT YOU'LL WALK AWAY WITH (about 15 minutes)</t>
        </is>
      </c>
      <c r="C4" s="4" t="n"/>
    </row>
    <row r="5">
      <c r="A5" s="6" t="inlineStr"/>
      <c r="B5" s="7" t="inlineStr">
        <is>
          <t>Your swing</t>
        </is>
      </c>
      <c r="C5" s="8" t="inlineStr">
        <is>
          <t>How far your best month is from your worst, and how much of your revenue is locked in before the month starts.</t>
        </is>
      </c>
    </row>
    <row r="6">
      <c r="A6" s="6" t="inlineStr"/>
      <c r="B6" s="7" t="inlineStr">
        <is>
          <t>Your cost</t>
        </is>
      </c>
      <c r="C6" s="8" t="inlineStr">
        <is>
          <t>How much cash you're short in a normal year, and in a mild one, against the minimum you never want to drop below.</t>
        </is>
      </c>
    </row>
    <row r="7">
      <c r="A7" s="6" t="inlineStr"/>
      <c r="B7" s="7" t="inlineStr">
        <is>
          <t>Your decisions</t>
        </is>
      </c>
      <c r="C7" s="8" t="inlineStr">
        <is>
          <t>How much to set aside and by when, how many members you need, and when to start your slow-season push.</t>
        </is>
      </c>
    </row>
    <row r="8">
      <c r="A8" s="6" t="inlineStr"/>
      <c r="B8" s="7" t="inlineStr">
        <is>
          <t>Your Floor Score</t>
        </is>
      </c>
      <c r="C8" s="8" t="inlineStr">
        <is>
          <t>One number and one label: Weather-Driven Job Shop, Weather-Sensitive, Emerging Floor, or Revenue-Floor Utility.</t>
        </is>
      </c>
    </row>
    <row r="10">
      <c r="A10" s="4" t="n"/>
      <c r="B10" s="5" t="inlineStr">
        <is>
          <t>HOW TO USE IT</t>
        </is>
      </c>
      <c r="C10" s="4" t="n"/>
    </row>
    <row r="11">
      <c r="A11" s="6" t="inlineStr">
        <is>
          <t>1</t>
        </is>
      </c>
      <c r="B11" s="7" t="inlineStr">
        <is>
          <t>Floor Planner tab</t>
        </is>
      </c>
      <c r="C11" s="8" t="inlineStr">
        <is>
          <t>Fill the yellow cells (about 5 minutes).</t>
        </is>
      </c>
    </row>
    <row r="12">
      <c r="A12" s="6" t="inlineStr">
        <is>
          <t>2</t>
        </is>
      </c>
      <c r="B12" s="7" t="inlineStr">
        <is>
          <t>Membership Base Load tab</t>
        </is>
      </c>
      <c r="C12" s="8" t="inlineStr">
        <is>
          <t>Fill 5 yellow cells about your maintenance plan (about 3 minutes).</t>
        </is>
      </c>
    </row>
    <row r="13">
      <c r="A13" s="6" t="inlineStr">
        <is>
          <t>3</t>
        </is>
      </c>
      <c r="B13" s="7" t="inlineStr">
        <is>
          <t>Your Floor Report tab</t>
        </is>
      </c>
      <c r="C13" s="8" t="inlineStr">
        <is>
          <t>Read your score, your cost, and your 3 decisions. Nothing to type.</t>
        </is>
      </c>
    </row>
    <row r="15">
      <c r="A15" s="4" t="n"/>
      <c r="B15" s="5" t="inlineStr">
        <is>
          <t>THE RULES</t>
        </is>
      </c>
      <c r="C15" s="4" t="n"/>
    </row>
    <row r="16">
      <c r="A16" s="6" t="inlineStr"/>
      <c r="B16" s="9" t="inlineStr">
        <is>
          <t>Yellow cells</t>
        </is>
      </c>
      <c r="C16" s="8" t="inlineStr">
        <is>
          <t>Type your numbers here. Blue text means you entered it.</t>
        </is>
      </c>
    </row>
    <row r="17">
      <c r="A17" s="6" t="inlineStr"/>
      <c r="B17" s="7" t="inlineStr">
        <is>
          <t>White cells</t>
        </is>
      </c>
      <c r="C17" s="8" t="inlineStr">
        <is>
          <t>Math. Don't type over them.</t>
        </is>
      </c>
    </row>
    <row r="18">
      <c r="A18" s="6" t="inlineStr"/>
      <c r="B18" s="7" t="inlineStr">
        <is>
          <t>Example numbers</t>
        </is>
      </c>
      <c r="C18" s="8" t="inlineStr">
        <is>
          <t>Yellow cells start filled with a $1.8M example shop on typical HVAC numbers. Replace every one with yours.</t>
        </is>
      </c>
    </row>
    <row r="19">
      <c r="A19" s="6" t="inlineStr"/>
      <c r="B19" s="7" t="inlineStr">
        <is>
          <t>Rough is fine</t>
        </is>
      </c>
      <c r="C19" s="8" t="inlineStr">
        <is>
          <t>Pull last year's numbers from your P&amp;L or bank statements. Close beats perfect. Hover a yellow cell for a tip.</t>
        </is>
      </c>
    </row>
    <row r="21">
      <c r="B21" s="10" t="inlineStr">
        <is>
          <t>Built by AutoBoss. HVAC Revenue Infrastructure.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6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7" customWidth="1" min="3" max="3"/>
    <col width="17" customWidth="1" min="4" max="4"/>
    <col width="14" customWidth="1" min="5" max="5"/>
    <col width="14" customWidth="1" min="6" max="6"/>
    <col width="17" customWidth="1" min="7" max="7"/>
    <col width="17" customWidth="1" min="8" max="8"/>
    <col width="17" customWidth="1" min="9" max="9"/>
    <col width="15" customWidth="1" min="10" max="10"/>
    <col width="17" customWidth="1" min="11" max="11"/>
    <col width="17" customWidth="1" min="12" max="12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</cols>
  <sheetData>
    <row r="1" ht="28" customHeight="1">
      <c r="A1" s="1" t="inlineStr">
        <is>
          <t>12-Month Revenue Floor Planner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See which months break you, and what one mild season would do.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4">
      <c r="A4" s="5" t="inlineStr">
        <is>
          <t>1. YOUR NUMBERS (yellow cells)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11" t="inlineStr">
        <is>
          <t>Company name</t>
        </is>
      </c>
      <c r="C5" s="12" t="inlineStr">
        <is>
          <t>Your HVAC Company</t>
        </is>
      </c>
    </row>
    <row r="6">
      <c r="A6" s="11" t="inlineStr">
        <is>
          <t>Revenue, next 12 months</t>
        </is>
      </c>
      <c r="C6" s="13" t="n">
        <v>1800000</v>
      </c>
      <c r="D6" s="14">
        <f>C6/12</f>
        <v/>
      </c>
      <c r="E6" s="10" t="inlineStr">
        <is>
          <t>average month</t>
        </is>
      </c>
    </row>
    <row r="7">
      <c r="A7" s="11" t="inlineStr">
        <is>
          <t>Fixed overhead per month</t>
        </is>
      </c>
      <c r="C7" s="13" t="n">
        <v>57000</v>
      </c>
    </row>
    <row r="8">
      <c r="A8" s="11" t="inlineStr">
        <is>
          <t>Job costs, % of revenue</t>
        </is>
      </c>
      <c r="C8" s="15" t="n">
        <v>0.54</v>
      </c>
    </row>
    <row r="9">
      <c r="A9" s="11" t="inlineStr">
        <is>
          <t>Cash in the bank today</t>
        </is>
      </c>
      <c r="C9" s="13" t="n">
        <v>120000</v>
      </c>
    </row>
    <row r="10">
      <c r="A10" s="11" t="inlineStr">
        <is>
          <t>Minimum cash you never want to drop below</t>
        </is>
      </c>
      <c r="C10" s="13" t="n">
        <v>57000</v>
      </c>
    </row>
    <row r="11">
      <c r="A11" s="11" t="inlineStr">
        <is>
          <t>Mild season test: peak months come in lighter by</t>
        </is>
      </c>
      <c r="C11" s="15" t="n">
        <v>0.2</v>
      </c>
    </row>
    <row r="12">
      <c r="A12" s="11" t="inlineStr">
        <is>
          <t>Seasonality pattern</t>
        </is>
      </c>
      <c r="C12" s="12" t="inlineStr">
        <is>
          <t>My Own</t>
        </is>
      </c>
      <c r="D12" s="16">
        <f>IF(AND(C12="My Own",E60=0),"Type last year's months in section 5 first","")</f>
        <v/>
      </c>
    </row>
    <row r="14">
      <c r="A14" s="5" t="inlineStr">
        <is>
          <t>2. HOW BAD IS YOUR SWING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17" t="inlineStr">
        <is>
          <t>Best month</t>
        </is>
      </c>
      <c r="C15" s="18">
        <f>INDEX(A33:A44,MATCH(MAX(C33:C44),C33:C44,0))</f>
        <v/>
      </c>
      <c r="D15" s="19">
        <f>MAX(C33:C44)</f>
        <v/>
      </c>
    </row>
    <row r="16">
      <c r="A16" s="17" t="inlineStr">
        <is>
          <t>Slowest month</t>
        </is>
      </c>
      <c r="C16" s="18">
        <f>INDEX(A33:A44,MATCH(MIN(C33:C44),C33:C44,0))</f>
        <v/>
      </c>
      <c r="D16" s="19">
        <f>MIN(C33:C44)</f>
        <v/>
      </c>
    </row>
    <row r="17">
      <c r="A17" s="17" t="inlineStr">
        <is>
          <t>Best month vs slowest</t>
        </is>
      </c>
      <c r="C17" s="20">
        <f>IF(D16&lt;=0,0,D15/D16)</f>
        <v/>
      </c>
      <c r="D17" s="10" t="inlineStr">
        <is>
          <t>That swing isn't the weather. It's a business model with no floor under it.</t>
        </is>
      </c>
    </row>
    <row r="18">
      <c r="A18" s="17" t="inlineStr">
        <is>
          <t>Revenue locked in before the month starts</t>
        </is>
      </c>
      <c r="C18" s="21">
        <f>IF(C6&lt;=0,0,'Membership Base Load'!B8*'Membership Base Load'!B5*12/C6)</f>
        <v/>
      </c>
      <c r="D18" s="16">
        <f>"The other "&amp;TEXT(1-C18,"0%")&amp;" depends on the weather and the phone ringing."</f>
        <v/>
      </c>
    </row>
    <row r="20">
      <c r="A20" s="5" t="inlineStr">
        <is>
          <t>3. YOUR FLOOR GAP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C21" s="22" t="inlineStr">
        <is>
          <t>Normal year</t>
        </is>
      </c>
      <c r="D21" s="22" t="inlineStr">
        <is>
          <t>Mild season</t>
        </is>
      </c>
    </row>
    <row r="22">
      <c r="A22" s="17" t="inlineStr">
        <is>
          <t>Months that don't cover overhead</t>
        </is>
      </c>
      <c r="C22" s="23">
        <f>COUNTIF(G33:G44,"&lt;0")</f>
        <v/>
      </c>
      <c r="D22" s="23">
        <f>COUNTIF(K33:K44,"&lt;0")</f>
        <v/>
      </c>
    </row>
    <row r="23">
      <c r="A23" s="17" t="inlineStr">
        <is>
          <t>Worst month</t>
        </is>
      </c>
      <c r="C23" s="24">
        <f>IF(MIN(G33:G44)&gt;=0,"None",INDEX(A33:A44,MATCH(MIN(G33:G44),G33:G44,0)))</f>
        <v/>
      </c>
      <c r="D23" s="24">
        <f>IF(MIN(K33:K44)&gt;=0,"None",INDEX(A33:A44,MATCH(MIN(K33:K44),K33:K44,0)))</f>
        <v/>
      </c>
    </row>
    <row r="24">
      <c r="A24" s="17" t="inlineStr">
        <is>
          <t>Worst month shortfall</t>
        </is>
      </c>
      <c r="C24" s="25">
        <f>MIN(0,MIN(G33:G44))</f>
        <v/>
      </c>
      <c r="D24" s="25">
        <f>MIN(0,MIN(K33:K44))</f>
        <v/>
      </c>
    </row>
    <row r="25">
      <c r="A25" s="17" t="inlineStr">
        <is>
          <t>Total Floor Gap (red months added up)</t>
        </is>
      </c>
      <c r="C25" s="25">
        <f>SUMIF(G33:G44,"&lt;0")</f>
        <v/>
      </c>
      <c r="D25" s="25">
        <f>SUMIF(K33:K44,"&lt;0")</f>
        <v/>
      </c>
      <c r="E25" s="10" t="inlineStr">
        <is>
          <t>The hole a revenue floor has to fill.</t>
        </is>
      </c>
    </row>
    <row r="26">
      <c r="A26" s="17" t="inlineStr">
        <is>
          <t>Lowest cash point</t>
        </is>
      </c>
      <c r="C26" s="25">
        <f>MIN(H33:H44)</f>
        <v/>
      </c>
      <c r="D26" s="25">
        <f>MIN(L33:L44)</f>
        <v/>
      </c>
      <c r="E26" s="10" t="inlineStr">
        <is>
          <t>Assumes you collect in the month you bill.</t>
        </is>
      </c>
    </row>
    <row r="27">
      <c r="A27" s="17" t="inlineStr">
        <is>
          <t>Months below your cash floor</t>
        </is>
      </c>
      <c r="C27" s="23">
        <f>COUNTIF(H33:H44,"&lt;"&amp;$C$10)</f>
        <v/>
      </c>
      <c r="D27" s="23">
        <f>COUNTIF(L33:L44,"&lt;"&amp;$C$10)</f>
        <v/>
      </c>
    </row>
    <row r="28">
      <c r="A28" s="17" t="inlineStr">
        <is>
          <t>First month below your cash floor</t>
        </is>
      </c>
      <c r="C28" s="24">
        <f>IF(MIN(AC33:AC44)&gt;12,"Never",INDEX(A33:A44,MIN(AC33:AC44)))</f>
        <v/>
      </c>
      <c r="D28" s="24">
        <f>IF(MIN(AD33:AD44)&gt;12,"Never",INDEX(A33:A44,MIN(AD33:AD44)))</f>
        <v/>
      </c>
    </row>
    <row r="29">
      <c r="A29" s="17" t="inlineStr">
        <is>
          <t>Cash to set aside now to stay above your floor</t>
        </is>
      </c>
      <c r="C29" s="25">
        <f>MAX(0,$C$10-C26)</f>
        <v/>
      </c>
      <c r="D29" s="25">
        <f>MAX(0,$C$10-D26)</f>
        <v/>
      </c>
      <c r="E29" s="10" t="inlineStr">
        <is>
          <t>Your first decision. See the Floor Report tab.</t>
        </is>
      </c>
    </row>
    <row r="30">
      <c r="A30" s="17" t="inlineStr">
        <is>
          <t>Profit for the year after overhead</t>
        </is>
      </c>
      <c r="C30" s="25">
        <f>SUM(G33:G44)</f>
        <v/>
      </c>
      <c r="D30" s="25">
        <f>SUM(K33:K44)</f>
        <v/>
      </c>
    </row>
    <row r="31">
      <c r="A31" s="5" t="inlineStr">
        <is>
          <t>4. MONTH BY MONTH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 ht="32" customHeight="1">
      <c r="A32" s="26" t="inlineStr">
        <is>
          <t>Month</t>
        </is>
      </c>
      <c r="B32" s="26" t="inlineStr">
        <is>
          <t>Season multiplier</t>
        </is>
      </c>
      <c r="C32" s="26" t="inlineStr">
        <is>
          <t>Revenue</t>
        </is>
      </c>
      <c r="D32" s="26" t="inlineStr">
        <is>
          <t>Job costs</t>
        </is>
      </c>
      <c r="E32" s="26" t="inlineStr">
        <is>
          <t>Job profit</t>
        </is>
      </c>
      <c r="F32" s="26" t="inlineStr">
        <is>
          <t>Overhead</t>
        </is>
      </c>
      <c r="G32" s="26" t="inlineStr">
        <is>
          <t>Profit / (loss) after overhead</t>
        </is>
      </c>
      <c r="H32" s="26" t="inlineStr">
        <is>
          <t>Cash in bank, end of month</t>
        </is>
      </c>
      <c r="I32" s="26" t="inlineStr">
        <is>
          <t>Status</t>
        </is>
      </c>
      <c r="J32" s="26" t="inlineStr">
        <is>
          <t>Mild season: revenue</t>
        </is>
      </c>
      <c r="K32" s="26" t="inlineStr">
        <is>
          <t>Mild season: profit / (loss)</t>
        </is>
      </c>
      <c r="L32" s="26" t="inlineStr">
        <is>
          <t>Mild season: cash, end of month</t>
        </is>
      </c>
      <c r="Z32" t="inlineStr">
        <is>
          <t>Covered</t>
        </is>
      </c>
      <c r="AA32" t="inlineStr">
        <is>
          <t>Short</t>
        </is>
      </c>
      <c r="AB32" t="inlineStr">
        <is>
          <t>Cash floor</t>
        </is>
      </c>
      <c r="AC32" t="inlineStr">
        <is>
          <t>Below floor (normal)</t>
        </is>
      </c>
      <c r="AD32" t="inlineStr">
        <is>
          <t>Below floor (mild)</t>
        </is>
      </c>
    </row>
    <row r="33">
      <c r="A33" s="27" t="inlineStr">
        <is>
          <t>January</t>
        </is>
      </c>
      <c r="B33" s="28">
        <f>IF($C$12="Cooling Heavy",C48,IF($C$12="Heating Heavy",D48,IF($C$12="My Own",F48,B48)))</f>
        <v/>
      </c>
      <c r="C33" s="19">
        <f>$C$6/12*B33</f>
        <v/>
      </c>
      <c r="D33" s="19">
        <f>C33*$C$8</f>
        <v/>
      </c>
      <c r="E33" s="19">
        <f>C33-D33</f>
        <v/>
      </c>
      <c r="F33" s="19">
        <f>$C$7</f>
        <v/>
      </c>
      <c r="G33" s="25">
        <f>E33-F33</f>
        <v/>
      </c>
      <c r="H33" s="19">
        <f>$C$9+G33</f>
        <v/>
      </c>
      <c r="I33" s="29">
        <f>IF(H33&lt;0,"CASH SHORT",IF(H33&lt;$C$10,"BELOW CASH FLOOR",IF(G33&lt;0,"BELOW OVERHEAD","Covered")))</f>
        <v/>
      </c>
      <c r="J33" s="19">
        <f>IF(B33&gt;1,C33*(1-$C$11),C33)</f>
        <v/>
      </c>
      <c r="K33" s="25">
        <f>J33*(1-$C$8)-$C$7</f>
        <v/>
      </c>
      <c r="L33" s="19">
        <f>$C$9+K33</f>
        <v/>
      </c>
      <c r="Z33">
        <f>MAX(0,G33)</f>
        <v/>
      </c>
      <c r="AA33">
        <f>MIN(0,G33)</f>
        <v/>
      </c>
      <c r="AB33">
        <f>$C$10</f>
        <v/>
      </c>
      <c r="AC33">
        <f>IF(H33&lt;$C$10,1,99)</f>
        <v/>
      </c>
      <c r="AD33">
        <f>IF(L33&lt;$C$10,1,99)</f>
        <v/>
      </c>
    </row>
    <row r="34">
      <c r="A34" s="27" t="inlineStr">
        <is>
          <t>February</t>
        </is>
      </c>
      <c r="B34" s="28">
        <f>IF($C$12="Cooling Heavy",C49,IF($C$12="Heating Heavy",D49,IF($C$12="My Own",F49,B49)))</f>
        <v/>
      </c>
      <c r="C34" s="19">
        <f>$C$6/12*B34</f>
        <v/>
      </c>
      <c r="D34" s="19">
        <f>C34*$C$8</f>
        <v/>
      </c>
      <c r="E34" s="19">
        <f>C34-D34</f>
        <v/>
      </c>
      <c r="F34" s="19">
        <f>$C$7</f>
        <v/>
      </c>
      <c r="G34" s="25">
        <f>E34-F34</f>
        <v/>
      </c>
      <c r="H34" s="19">
        <f>H33+G34</f>
        <v/>
      </c>
      <c r="I34" s="29">
        <f>IF(H34&lt;0,"CASH SHORT",IF(H34&lt;$C$10,"BELOW CASH FLOOR",IF(G34&lt;0,"BELOW OVERHEAD","Covered")))</f>
        <v/>
      </c>
      <c r="J34" s="19">
        <f>IF(B34&gt;1,C34*(1-$C$11),C34)</f>
        <v/>
      </c>
      <c r="K34" s="25">
        <f>J34*(1-$C$8)-$C$7</f>
        <v/>
      </c>
      <c r="L34" s="19">
        <f>L33+K34</f>
        <v/>
      </c>
      <c r="Z34">
        <f>MAX(0,G34)</f>
        <v/>
      </c>
      <c r="AA34">
        <f>MIN(0,G34)</f>
        <v/>
      </c>
      <c r="AB34">
        <f>$C$10</f>
        <v/>
      </c>
      <c r="AC34">
        <f>IF(H34&lt;$C$10,2,99)</f>
        <v/>
      </c>
      <c r="AD34">
        <f>IF(L34&lt;$C$10,2,99)</f>
        <v/>
      </c>
    </row>
    <row r="35">
      <c r="A35" s="27" t="inlineStr">
        <is>
          <t>March</t>
        </is>
      </c>
      <c r="B35" s="28">
        <f>IF($C$12="Cooling Heavy",C50,IF($C$12="Heating Heavy",D50,IF($C$12="My Own",F50,B50)))</f>
        <v/>
      </c>
      <c r="C35" s="19">
        <f>$C$6/12*B35</f>
        <v/>
      </c>
      <c r="D35" s="19">
        <f>C35*$C$8</f>
        <v/>
      </c>
      <c r="E35" s="19">
        <f>C35-D35</f>
        <v/>
      </c>
      <c r="F35" s="19">
        <f>$C$7</f>
        <v/>
      </c>
      <c r="G35" s="25">
        <f>E35-F35</f>
        <v/>
      </c>
      <c r="H35" s="19">
        <f>H34+G35</f>
        <v/>
      </c>
      <c r="I35" s="29">
        <f>IF(H35&lt;0,"CASH SHORT",IF(H35&lt;$C$10,"BELOW CASH FLOOR",IF(G35&lt;0,"BELOW OVERHEAD","Covered")))</f>
        <v/>
      </c>
      <c r="J35" s="19">
        <f>IF(B35&gt;1,C35*(1-$C$11),C35)</f>
        <v/>
      </c>
      <c r="K35" s="25">
        <f>J35*(1-$C$8)-$C$7</f>
        <v/>
      </c>
      <c r="L35" s="19">
        <f>L34+K35</f>
        <v/>
      </c>
      <c r="Z35">
        <f>MAX(0,G35)</f>
        <v/>
      </c>
      <c r="AA35">
        <f>MIN(0,G35)</f>
        <v/>
      </c>
      <c r="AB35">
        <f>$C$10</f>
        <v/>
      </c>
      <c r="AC35">
        <f>IF(H35&lt;$C$10,3,99)</f>
        <v/>
      </c>
      <c r="AD35">
        <f>IF(L35&lt;$C$10,3,99)</f>
        <v/>
      </c>
    </row>
    <row r="36">
      <c r="A36" s="27" t="inlineStr">
        <is>
          <t>April</t>
        </is>
      </c>
      <c r="B36" s="28">
        <f>IF($C$12="Cooling Heavy",C51,IF($C$12="Heating Heavy",D51,IF($C$12="My Own",F51,B51)))</f>
        <v/>
      </c>
      <c r="C36" s="19">
        <f>$C$6/12*B36</f>
        <v/>
      </c>
      <c r="D36" s="19">
        <f>C36*$C$8</f>
        <v/>
      </c>
      <c r="E36" s="19">
        <f>C36-D36</f>
        <v/>
      </c>
      <c r="F36" s="19">
        <f>$C$7</f>
        <v/>
      </c>
      <c r="G36" s="25">
        <f>E36-F36</f>
        <v/>
      </c>
      <c r="H36" s="19">
        <f>H35+G36</f>
        <v/>
      </c>
      <c r="I36" s="29">
        <f>IF(H36&lt;0,"CASH SHORT",IF(H36&lt;$C$10,"BELOW CASH FLOOR",IF(G36&lt;0,"BELOW OVERHEAD","Covered")))</f>
        <v/>
      </c>
      <c r="J36" s="19">
        <f>IF(B36&gt;1,C36*(1-$C$11),C36)</f>
        <v/>
      </c>
      <c r="K36" s="25">
        <f>J36*(1-$C$8)-$C$7</f>
        <v/>
      </c>
      <c r="L36" s="19">
        <f>L35+K36</f>
        <v/>
      </c>
      <c r="Z36">
        <f>MAX(0,G36)</f>
        <v/>
      </c>
      <c r="AA36">
        <f>MIN(0,G36)</f>
        <v/>
      </c>
      <c r="AB36">
        <f>$C$10</f>
        <v/>
      </c>
      <c r="AC36">
        <f>IF(H36&lt;$C$10,4,99)</f>
        <v/>
      </c>
      <c r="AD36">
        <f>IF(L36&lt;$C$10,4,99)</f>
        <v/>
      </c>
    </row>
    <row r="37">
      <c r="A37" s="27" t="inlineStr">
        <is>
          <t>May</t>
        </is>
      </c>
      <c r="B37" s="28">
        <f>IF($C$12="Cooling Heavy",C52,IF($C$12="Heating Heavy",D52,IF($C$12="My Own",F52,B52)))</f>
        <v/>
      </c>
      <c r="C37" s="19">
        <f>$C$6/12*B37</f>
        <v/>
      </c>
      <c r="D37" s="19">
        <f>C37*$C$8</f>
        <v/>
      </c>
      <c r="E37" s="19">
        <f>C37-D37</f>
        <v/>
      </c>
      <c r="F37" s="19">
        <f>$C$7</f>
        <v/>
      </c>
      <c r="G37" s="25">
        <f>E37-F37</f>
        <v/>
      </c>
      <c r="H37" s="19">
        <f>H36+G37</f>
        <v/>
      </c>
      <c r="I37" s="29">
        <f>IF(H37&lt;0,"CASH SHORT",IF(H37&lt;$C$10,"BELOW CASH FLOOR",IF(G37&lt;0,"BELOW OVERHEAD","Covered")))</f>
        <v/>
      </c>
      <c r="J37" s="19">
        <f>IF(B37&gt;1,C37*(1-$C$11),C37)</f>
        <v/>
      </c>
      <c r="K37" s="25">
        <f>J37*(1-$C$8)-$C$7</f>
        <v/>
      </c>
      <c r="L37" s="19">
        <f>L36+K37</f>
        <v/>
      </c>
      <c r="Z37">
        <f>MAX(0,G37)</f>
        <v/>
      </c>
      <c r="AA37">
        <f>MIN(0,G37)</f>
        <v/>
      </c>
      <c r="AB37">
        <f>$C$10</f>
        <v/>
      </c>
      <c r="AC37">
        <f>IF(H37&lt;$C$10,5,99)</f>
        <v/>
      </c>
      <c r="AD37">
        <f>IF(L37&lt;$C$10,5,99)</f>
        <v/>
      </c>
    </row>
    <row r="38">
      <c r="A38" s="27" t="inlineStr">
        <is>
          <t>June</t>
        </is>
      </c>
      <c r="B38" s="28">
        <f>IF($C$12="Cooling Heavy",C53,IF($C$12="Heating Heavy",D53,IF($C$12="My Own",F53,B53)))</f>
        <v/>
      </c>
      <c r="C38" s="19">
        <f>$C$6/12*B38</f>
        <v/>
      </c>
      <c r="D38" s="19">
        <f>C38*$C$8</f>
        <v/>
      </c>
      <c r="E38" s="19">
        <f>C38-D38</f>
        <v/>
      </c>
      <c r="F38" s="19">
        <f>$C$7</f>
        <v/>
      </c>
      <c r="G38" s="25">
        <f>E38-F38</f>
        <v/>
      </c>
      <c r="H38" s="19">
        <f>H37+G38</f>
        <v/>
      </c>
      <c r="I38" s="29">
        <f>IF(H38&lt;0,"CASH SHORT",IF(H38&lt;$C$10,"BELOW CASH FLOOR",IF(G38&lt;0,"BELOW OVERHEAD","Covered")))</f>
        <v/>
      </c>
      <c r="J38" s="19">
        <f>IF(B38&gt;1,C38*(1-$C$11),C38)</f>
        <v/>
      </c>
      <c r="K38" s="25">
        <f>J38*(1-$C$8)-$C$7</f>
        <v/>
      </c>
      <c r="L38" s="19">
        <f>L37+K38</f>
        <v/>
      </c>
      <c r="Z38">
        <f>MAX(0,G38)</f>
        <v/>
      </c>
      <c r="AA38">
        <f>MIN(0,G38)</f>
        <v/>
      </c>
      <c r="AB38">
        <f>$C$10</f>
        <v/>
      </c>
      <c r="AC38">
        <f>IF(H38&lt;$C$10,6,99)</f>
        <v/>
      </c>
      <c r="AD38">
        <f>IF(L38&lt;$C$10,6,99)</f>
        <v/>
      </c>
    </row>
    <row r="39">
      <c r="A39" s="27" t="inlineStr">
        <is>
          <t>July</t>
        </is>
      </c>
      <c r="B39" s="28">
        <f>IF($C$12="Cooling Heavy",C54,IF($C$12="Heating Heavy",D54,IF($C$12="My Own",F54,B54)))</f>
        <v/>
      </c>
      <c r="C39" s="19">
        <f>$C$6/12*B39</f>
        <v/>
      </c>
      <c r="D39" s="19">
        <f>C39*$C$8</f>
        <v/>
      </c>
      <c r="E39" s="19">
        <f>C39-D39</f>
        <v/>
      </c>
      <c r="F39" s="19">
        <f>$C$7</f>
        <v/>
      </c>
      <c r="G39" s="25">
        <f>E39-F39</f>
        <v/>
      </c>
      <c r="H39" s="19">
        <f>H38+G39</f>
        <v/>
      </c>
      <c r="I39" s="29">
        <f>IF(H39&lt;0,"CASH SHORT",IF(H39&lt;$C$10,"BELOW CASH FLOOR",IF(G39&lt;0,"BELOW OVERHEAD","Covered")))</f>
        <v/>
      </c>
      <c r="J39" s="19">
        <f>IF(B39&gt;1,C39*(1-$C$11),C39)</f>
        <v/>
      </c>
      <c r="K39" s="25">
        <f>J39*(1-$C$8)-$C$7</f>
        <v/>
      </c>
      <c r="L39" s="19">
        <f>L38+K39</f>
        <v/>
      </c>
      <c r="Z39">
        <f>MAX(0,G39)</f>
        <v/>
      </c>
      <c r="AA39">
        <f>MIN(0,G39)</f>
        <v/>
      </c>
      <c r="AB39">
        <f>$C$10</f>
        <v/>
      </c>
      <c r="AC39">
        <f>IF(H39&lt;$C$10,7,99)</f>
        <v/>
      </c>
      <c r="AD39">
        <f>IF(L39&lt;$C$10,7,99)</f>
        <v/>
      </c>
    </row>
    <row r="40">
      <c r="A40" s="27" t="inlineStr">
        <is>
          <t>August</t>
        </is>
      </c>
      <c r="B40" s="28">
        <f>IF($C$12="Cooling Heavy",C55,IF($C$12="Heating Heavy",D55,IF($C$12="My Own",F55,B55)))</f>
        <v/>
      </c>
      <c r="C40" s="19">
        <f>$C$6/12*B40</f>
        <v/>
      </c>
      <c r="D40" s="19">
        <f>C40*$C$8</f>
        <v/>
      </c>
      <c r="E40" s="19">
        <f>C40-D40</f>
        <v/>
      </c>
      <c r="F40" s="19">
        <f>$C$7</f>
        <v/>
      </c>
      <c r="G40" s="25">
        <f>E40-F40</f>
        <v/>
      </c>
      <c r="H40" s="19">
        <f>H39+G40</f>
        <v/>
      </c>
      <c r="I40" s="29">
        <f>IF(H40&lt;0,"CASH SHORT",IF(H40&lt;$C$10,"BELOW CASH FLOOR",IF(G40&lt;0,"BELOW OVERHEAD","Covered")))</f>
        <v/>
      </c>
      <c r="J40" s="19">
        <f>IF(B40&gt;1,C40*(1-$C$11),C40)</f>
        <v/>
      </c>
      <c r="K40" s="25">
        <f>J40*(1-$C$8)-$C$7</f>
        <v/>
      </c>
      <c r="L40" s="19">
        <f>L39+K40</f>
        <v/>
      </c>
      <c r="Z40">
        <f>MAX(0,G40)</f>
        <v/>
      </c>
      <c r="AA40">
        <f>MIN(0,G40)</f>
        <v/>
      </c>
      <c r="AB40">
        <f>$C$10</f>
        <v/>
      </c>
      <c r="AC40">
        <f>IF(H40&lt;$C$10,8,99)</f>
        <v/>
      </c>
      <c r="AD40">
        <f>IF(L40&lt;$C$10,8,99)</f>
        <v/>
      </c>
    </row>
    <row r="41">
      <c r="A41" s="27" t="inlineStr">
        <is>
          <t>September</t>
        </is>
      </c>
      <c r="B41" s="28">
        <f>IF($C$12="Cooling Heavy",C56,IF($C$12="Heating Heavy",D56,IF($C$12="My Own",F56,B56)))</f>
        <v/>
      </c>
      <c r="C41" s="19">
        <f>$C$6/12*B41</f>
        <v/>
      </c>
      <c r="D41" s="19">
        <f>C41*$C$8</f>
        <v/>
      </c>
      <c r="E41" s="19">
        <f>C41-D41</f>
        <v/>
      </c>
      <c r="F41" s="19">
        <f>$C$7</f>
        <v/>
      </c>
      <c r="G41" s="25">
        <f>E41-F41</f>
        <v/>
      </c>
      <c r="H41" s="19">
        <f>H40+G41</f>
        <v/>
      </c>
      <c r="I41" s="29">
        <f>IF(H41&lt;0,"CASH SHORT",IF(H41&lt;$C$10,"BELOW CASH FLOOR",IF(G41&lt;0,"BELOW OVERHEAD","Covered")))</f>
        <v/>
      </c>
      <c r="J41" s="19">
        <f>IF(B41&gt;1,C41*(1-$C$11),C41)</f>
        <v/>
      </c>
      <c r="K41" s="25">
        <f>J41*(1-$C$8)-$C$7</f>
        <v/>
      </c>
      <c r="L41" s="19">
        <f>L40+K41</f>
        <v/>
      </c>
      <c r="Z41">
        <f>MAX(0,G41)</f>
        <v/>
      </c>
      <c r="AA41">
        <f>MIN(0,G41)</f>
        <v/>
      </c>
      <c r="AB41">
        <f>$C$10</f>
        <v/>
      </c>
      <c r="AC41">
        <f>IF(H41&lt;$C$10,9,99)</f>
        <v/>
      </c>
      <c r="AD41">
        <f>IF(L41&lt;$C$10,9,99)</f>
        <v/>
      </c>
    </row>
    <row r="42">
      <c r="A42" s="27" t="inlineStr">
        <is>
          <t>October</t>
        </is>
      </c>
      <c r="B42" s="28">
        <f>IF($C$12="Cooling Heavy",C57,IF($C$12="Heating Heavy",D57,IF($C$12="My Own",F57,B57)))</f>
        <v/>
      </c>
      <c r="C42" s="19">
        <f>$C$6/12*B42</f>
        <v/>
      </c>
      <c r="D42" s="19">
        <f>C42*$C$8</f>
        <v/>
      </c>
      <c r="E42" s="19">
        <f>C42-D42</f>
        <v/>
      </c>
      <c r="F42" s="19">
        <f>$C$7</f>
        <v/>
      </c>
      <c r="G42" s="25">
        <f>E42-F42</f>
        <v/>
      </c>
      <c r="H42" s="19">
        <f>H41+G42</f>
        <v/>
      </c>
      <c r="I42" s="29">
        <f>IF(H42&lt;0,"CASH SHORT",IF(H42&lt;$C$10,"BELOW CASH FLOOR",IF(G42&lt;0,"BELOW OVERHEAD","Covered")))</f>
        <v/>
      </c>
      <c r="J42" s="19">
        <f>IF(B42&gt;1,C42*(1-$C$11),C42)</f>
        <v/>
      </c>
      <c r="K42" s="25">
        <f>J42*(1-$C$8)-$C$7</f>
        <v/>
      </c>
      <c r="L42" s="19">
        <f>L41+K42</f>
        <v/>
      </c>
      <c r="Z42">
        <f>MAX(0,G42)</f>
        <v/>
      </c>
      <c r="AA42">
        <f>MIN(0,G42)</f>
        <v/>
      </c>
      <c r="AB42">
        <f>$C$10</f>
        <v/>
      </c>
      <c r="AC42">
        <f>IF(H42&lt;$C$10,10,99)</f>
        <v/>
      </c>
      <c r="AD42">
        <f>IF(L42&lt;$C$10,10,99)</f>
        <v/>
      </c>
    </row>
    <row r="43">
      <c r="A43" s="27" t="inlineStr">
        <is>
          <t>November</t>
        </is>
      </c>
      <c r="B43" s="28">
        <f>IF($C$12="Cooling Heavy",C58,IF($C$12="Heating Heavy",D58,IF($C$12="My Own",F58,B58)))</f>
        <v/>
      </c>
      <c r="C43" s="19">
        <f>$C$6/12*B43</f>
        <v/>
      </c>
      <c r="D43" s="19">
        <f>C43*$C$8</f>
        <v/>
      </c>
      <c r="E43" s="19">
        <f>C43-D43</f>
        <v/>
      </c>
      <c r="F43" s="19">
        <f>$C$7</f>
        <v/>
      </c>
      <c r="G43" s="25">
        <f>E43-F43</f>
        <v/>
      </c>
      <c r="H43" s="19">
        <f>H42+G43</f>
        <v/>
      </c>
      <c r="I43" s="29">
        <f>IF(H43&lt;0,"CASH SHORT",IF(H43&lt;$C$10,"BELOW CASH FLOOR",IF(G43&lt;0,"BELOW OVERHEAD","Covered")))</f>
        <v/>
      </c>
      <c r="J43" s="19">
        <f>IF(B43&gt;1,C43*(1-$C$11),C43)</f>
        <v/>
      </c>
      <c r="K43" s="25">
        <f>J43*(1-$C$8)-$C$7</f>
        <v/>
      </c>
      <c r="L43" s="19">
        <f>L42+K43</f>
        <v/>
      </c>
      <c r="Z43">
        <f>MAX(0,G43)</f>
        <v/>
      </c>
      <c r="AA43">
        <f>MIN(0,G43)</f>
        <v/>
      </c>
      <c r="AB43">
        <f>$C$10</f>
        <v/>
      </c>
      <c r="AC43">
        <f>IF(H43&lt;$C$10,11,99)</f>
        <v/>
      </c>
      <c r="AD43">
        <f>IF(L43&lt;$C$10,11,99)</f>
        <v/>
      </c>
    </row>
    <row r="44">
      <c r="A44" s="27" t="inlineStr">
        <is>
          <t>December</t>
        </is>
      </c>
      <c r="B44" s="28">
        <f>IF($C$12="Cooling Heavy",C59,IF($C$12="Heating Heavy",D59,IF($C$12="My Own",F59,B59)))</f>
        <v/>
      </c>
      <c r="C44" s="19">
        <f>$C$6/12*B44</f>
        <v/>
      </c>
      <c r="D44" s="19">
        <f>C44*$C$8</f>
        <v/>
      </c>
      <c r="E44" s="19">
        <f>C44-D44</f>
        <v/>
      </c>
      <c r="F44" s="19">
        <f>$C$7</f>
        <v/>
      </c>
      <c r="G44" s="25">
        <f>E44-F44</f>
        <v/>
      </c>
      <c r="H44" s="19">
        <f>H43+G44</f>
        <v/>
      </c>
      <c r="I44" s="29">
        <f>IF(H44&lt;0,"CASH SHORT",IF(H44&lt;$C$10,"BELOW CASH FLOOR",IF(G44&lt;0,"BELOW OVERHEAD","Covered")))</f>
        <v/>
      </c>
      <c r="J44" s="19">
        <f>IF(B44&gt;1,C44*(1-$C$11),C44)</f>
        <v/>
      </c>
      <c r="K44" s="25">
        <f>J44*(1-$C$8)-$C$7</f>
        <v/>
      </c>
      <c r="L44" s="19">
        <f>L43+K44</f>
        <v/>
      </c>
      <c r="Z44">
        <f>MAX(0,G44)</f>
        <v/>
      </c>
      <c r="AA44">
        <f>MIN(0,G44)</f>
        <v/>
      </c>
      <c r="AB44">
        <f>$C$10</f>
        <v/>
      </c>
      <c r="AC44">
        <f>IF(H44&lt;$C$10,12,99)</f>
        <v/>
      </c>
      <c r="AD44">
        <f>IF(L44&lt;$C$10,12,99)</f>
        <v/>
      </c>
    </row>
    <row r="45">
      <c r="A45" s="27" t="inlineStr">
        <is>
          <t>Total</t>
        </is>
      </c>
      <c r="B45" s="30">
        <f>SUM(B33:B44)</f>
        <v/>
      </c>
      <c r="C45" s="25">
        <f>SUM(C33:C44)</f>
        <v/>
      </c>
      <c r="D45" s="25">
        <f>SUM(D33:D44)</f>
        <v/>
      </c>
      <c r="E45" s="25">
        <f>SUM(E33:E44)</f>
        <v/>
      </c>
      <c r="F45" s="25">
        <f>SUM(F33:F44)</f>
        <v/>
      </c>
      <c r="G45" s="25">
        <f>SUM(G33:G44)</f>
        <v/>
      </c>
      <c r="J45" s="25">
        <f>SUM(J33:J44)</f>
        <v/>
      </c>
      <c r="K45" s="25">
        <f>SUM(K33:K44)</f>
        <v/>
      </c>
    </row>
    <row r="46">
      <c r="A46" s="5" t="inlineStr">
        <is>
          <t>5. SEASONALITY PATTERNS</t>
        </is>
      </c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 ht="32" customHeight="1">
      <c r="A47" s="26" t="inlineStr">
        <is>
          <t>Month</t>
        </is>
      </c>
      <c r="B47" s="26" t="inlineStr">
        <is>
          <t>Dual Peak</t>
        </is>
      </c>
      <c r="C47" s="26" t="inlineStr">
        <is>
          <t>Cooling Heavy</t>
        </is>
      </c>
      <c r="D47" s="26" t="inlineStr">
        <is>
          <t>Heating Heavy</t>
        </is>
      </c>
      <c r="E47" s="26" t="inlineStr">
        <is>
          <t>My Own: last year's revenue</t>
        </is>
      </c>
      <c r="F47" s="26" t="inlineStr">
        <is>
          <t>My Own multiplier</t>
        </is>
      </c>
    </row>
    <row r="48">
      <c r="A48" s="27" t="inlineStr">
        <is>
          <t>January</t>
        </is>
      </c>
      <c r="B48" s="31" t="n">
        <v>1.1</v>
      </c>
      <c r="C48" s="31" t="n">
        <v>0.85</v>
      </c>
      <c r="D48" s="31" t="n">
        <v>1.4</v>
      </c>
      <c r="E48" s="13" t="n">
        <v>157500</v>
      </c>
      <c r="F48" s="28">
        <f>IF($E$60=0,0,E48/($E$60/12))</f>
        <v/>
      </c>
    </row>
    <row r="49">
      <c r="A49" s="27" t="inlineStr">
        <is>
          <t>February</t>
        </is>
      </c>
      <c r="B49" s="31" t="n">
        <v>1</v>
      </c>
      <c r="C49" s="31" t="n">
        <v>0.8</v>
      </c>
      <c r="D49" s="31" t="n">
        <v>1.3</v>
      </c>
      <c r="E49" s="13" t="n">
        <v>127500</v>
      </c>
      <c r="F49" s="28">
        <f>IF($E$60=0,0,E49/($E$60/12))</f>
        <v/>
      </c>
    </row>
    <row r="50">
      <c r="A50" s="27" t="inlineStr">
        <is>
          <t>March</t>
        </is>
      </c>
      <c r="B50" s="31" t="n">
        <v>0.85</v>
      </c>
      <c r="C50" s="31" t="n">
        <v>0.8</v>
      </c>
      <c r="D50" s="31" t="n">
        <v>1</v>
      </c>
      <c r="E50" s="13" t="n">
        <v>112500</v>
      </c>
      <c r="F50" s="28">
        <f>IF($E$60=0,0,E50/($E$60/12))</f>
        <v/>
      </c>
    </row>
    <row r="51">
      <c r="A51" s="27" t="inlineStr">
        <is>
          <t>April</t>
        </is>
      </c>
      <c r="B51" s="31" t="n">
        <v>0.75</v>
      </c>
      <c r="C51" s="31" t="n">
        <v>0.8</v>
      </c>
      <c r="D51" s="31" t="n">
        <v>0.75</v>
      </c>
      <c r="E51" s="13" t="n">
        <v>105000</v>
      </c>
      <c r="F51" s="28">
        <f>IF($E$60=0,0,E51/($E$60/12))</f>
        <v/>
      </c>
    </row>
    <row r="52">
      <c r="A52" s="27" t="inlineStr">
        <is>
          <t>May</t>
        </is>
      </c>
      <c r="B52" s="31" t="n">
        <v>0.9</v>
      </c>
      <c r="C52" s="31" t="n">
        <v>1</v>
      </c>
      <c r="D52" s="31" t="n">
        <v>0.7</v>
      </c>
      <c r="E52" s="13" t="n">
        <v>142500</v>
      </c>
      <c r="F52" s="28">
        <f>IF($E$60=0,0,E52/($E$60/12))</f>
        <v/>
      </c>
    </row>
    <row r="53">
      <c r="A53" s="27" t="inlineStr">
        <is>
          <t>June</t>
        </is>
      </c>
      <c r="B53" s="31" t="n">
        <v>1.1</v>
      </c>
      <c r="C53" s="31" t="n">
        <v>1.3</v>
      </c>
      <c r="D53" s="31" t="n">
        <v>0.85</v>
      </c>
      <c r="E53" s="13" t="n">
        <v>187500</v>
      </c>
      <c r="F53" s="28">
        <f>IF($E$60=0,0,E53/($E$60/12))</f>
        <v/>
      </c>
    </row>
    <row r="54">
      <c r="A54" s="27" t="inlineStr">
        <is>
          <t>July</t>
        </is>
      </c>
      <c r="B54" s="31" t="n">
        <v>1.25</v>
      </c>
      <c r="C54" s="31" t="n">
        <v>1.45</v>
      </c>
      <c r="D54" s="31" t="n">
        <v>0.95</v>
      </c>
      <c r="E54" s="13" t="n">
        <v>210000</v>
      </c>
      <c r="F54" s="28">
        <f>IF($E$60=0,0,E54/($E$60/12))</f>
        <v/>
      </c>
    </row>
    <row r="55">
      <c r="A55" s="27" t="inlineStr">
        <is>
          <t>August</t>
        </is>
      </c>
      <c r="B55" s="31" t="n">
        <v>1.25</v>
      </c>
      <c r="C55" s="31" t="n">
        <v>1.45</v>
      </c>
      <c r="D55" s="31" t="n">
        <v>0.95</v>
      </c>
      <c r="E55" s="13" t="n">
        <v>202500</v>
      </c>
      <c r="F55" s="28">
        <f>IF($E$60=0,0,E55/($E$60/12))</f>
        <v/>
      </c>
    </row>
    <row r="56">
      <c r="A56" s="27" t="inlineStr">
        <is>
          <t>September</t>
        </is>
      </c>
      <c r="B56" s="31" t="n">
        <v>0.95</v>
      </c>
      <c r="C56" s="31" t="n">
        <v>1.1</v>
      </c>
      <c r="D56" s="31" t="n">
        <v>0.75</v>
      </c>
      <c r="E56" s="13" t="n">
        <v>157500</v>
      </c>
      <c r="F56" s="28">
        <f>IF($E$60=0,0,E56/($E$60/12))</f>
        <v/>
      </c>
    </row>
    <row r="57">
      <c r="A57" s="27" t="inlineStr">
        <is>
          <t>October</t>
        </is>
      </c>
      <c r="B57" s="31" t="n">
        <v>0.75</v>
      </c>
      <c r="C57" s="31" t="n">
        <v>0.85</v>
      </c>
      <c r="D57" s="31" t="n">
        <v>0.85</v>
      </c>
      <c r="E57" s="13" t="n">
        <v>105000</v>
      </c>
      <c r="F57" s="28">
        <f>IF($E$60=0,0,E57/($E$60/12))</f>
        <v/>
      </c>
    </row>
    <row r="58">
      <c r="A58" s="27" t="inlineStr">
        <is>
          <t>November</t>
        </is>
      </c>
      <c r="B58" s="31" t="n">
        <v>0.9</v>
      </c>
      <c r="C58" s="31" t="n">
        <v>0.75</v>
      </c>
      <c r="D58" s="31" t="n">
        <v>1.1</v>
      </c>
      <c r="E58" s="13" t="n">
        <v>120000</v>
      </c>
      <c r="F58" s="28">
        <f>IF($E$60=0,0,E58/($E$60/12))</f>
        <v/>
      </c>
    </row>
    <row r="59">
      <c r="A59" s="27" t="inlineStr">
        <is>
          <t>December</t>
        </is>
      </c>
      <c r="B59" s="31" t="n">
        <v>1.2</v>
      </c>
      <c r="C59" s="31" t="n">
        <v>0.85</v>
      </c>
      <c r="D59" s="31" t="n">
        <v>1.4</v>
      </c>
      <c r="E59" s="13" t="n">
        <v>172500</v>
      </c>
      <c r="F59" s="28">
        <f>IF($E$60=0,0,E59/($E$60/12))</f>
        <v/>
      </c>
    </row>
    <row r="60">
      <c r="A60" s="27" t="inlineStr">
        <is>
          <t>Total</t>
        </is>
      </c>
      <c r="B60" s="30">
        <f>SUM(B48:B59)</f>
        <v/>
      </c>
      <c r="C60" s="30">
        <f>SUM(C48:C59)</f>
        <v/>
      </c>
      <c r="D60" s="30">
        <f>SUM(D48:D59)</f>
        <v/>
      </c>
      <c r="E60" s="25">
        <f>SUM(E48:E59)</f>
        <v/>
      </c>
      <c r="F60" s="30">
        <f>SUM(F48:F59)</f>
        <v/>
      </c>
    </row>
    <row r="61">
      <c r="A61" s="10" t="inlineStr">
        <is>
          <t>Multipliers: 1.00 is an average month. 1.25 is 25% busier, 0.75 is 25% slower. Each column adds up to 12.</t>
        </is>
      </c>
    </row>
    <row r="62">
      <c r="A62" s="10" t="inlineStr">
        <is>
          <t>Dual Peak, Cooling Heavy and Heating Heavy are rough starting guesses, not data. Your own last 12 months beats all of them.</t>
        </is>
      </c>
    </row>
  </sheetData>
  <mergeCells count="22">
    <mergeCell ref="A24:B24"/>
    <mergeCell ref="A30:B30"/>
    <mergeCell ref="A15:B15"/>
    <mergeCell ref="A11:B11"/>
    <mergeCell ref="A6:B6"/>
    <mergeCell ref="A16:B16"/>
    <mergeCell ref="A7:B7"/>
    <mergeCell ref="A25:B25"/>
    <mergeCell ref="D18:I18"/>
    <mergeCell ref="A18:B18"/>
    <mergeCell ref="A27:B27"/>
    <mergeCell ref="A12:B12"/>
    <mergeCell ref="A26:B26"/>
    <mergeCell ref="A5:B5"/>
    <mergeCell ref="A23:B23"/>
    <mergeCell ref="A17:B17"/>
    <mergeCell ref="A8:B8"/>
    <mergeCell ref="A22:B22"/>
    <mergeCell ref="A29:B29"/>
    <mergeCell ref="A10:B10"/>
    <mergeCell ref="A28:B28"/>
    <mergeCell ref="A9:B9"/>
  </mergeCells>
  <conditionalFormatting sqref="C24:D25">
    <cfRule type="expression" priority="1" dxfId="0">
      <formula>C24&lt;0</formula>
    </cfRule>
  </conditionalFormatting>
  <conditionalFormatting sqref="C26:D26">
    <cfRule type="expression" priority="2" dxfId="0">
      <formula>C26&lt;$C$10</formula>
    </cfRule>
  </conditionalFormatting>
  <conditionalFormatting sqref="C27:D27">
    <cfRule type="expression" priority="3" dxfId="0">
      <formula>C27&gt;0</formula>
    </cfRule>
  </conditionalFormatting>
  <conditionalFormatting sqref="C29:D29">
    <cfRule type="expression" priority="4" dxfId="0">
      <formula>C29&gt;0</formula>
    </cfRule>
  </conditionalFormatting>
  <conditionalFormatting sqref="A33:I44">
    <cfRule type="expression" priority="5" dxfId="0">
      <formula>$G33&lt;0</formula>
    </cfRule>
  </conditionalFormatting>
  <conditionalFormatting sqref="J33:L44">
    <cfRule type="expression" priority="6" dxfId="1">
      <formula>$L33&lt;$C$10</formula>
    </cfRule>
  </conditionalFormatting>
  <dataValidations count="1">
    <dataValidation sqref="C12" showDropDown="0" showInputMessage="0" showErrorMessage="0" allowBlank="0" type="list">
      <formula1>"Dual Peak,Cooling Heavy,Heating Heavy,My Own"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 ht="28" customHeight="1">
      <c r="A1" s="1" t="inlineStr">
        <is>
          <t>Membership Base Load Calculator</t>
        </is>
      </c>
      <c r="B1" s="2" t="n"/>
      <c r="C1" s="2" t="n"/>
      <c r="D1" s="2" t="n"/>
      <c r="E1" s="2" t="n"/>
      <c r="F1" s="2" t="n"/>
    </row>
    <row r="2">
      <c r="A2" s="3" t="inlineStr">
        <is>
          <t>How many members does it take to carry your slow months before they start?</t>
        </is>
      </c>
      <c r="B2" s="2" t="n"/>
      <c r="C2" s="2" t="n"/>
      <c r="D2" s="2" t="n"/>
      <c r="E2" s="2" t="n"/>
      <c r="F2" s="2" t="n"/>
    </row>
    <row r="4">
      <c r="A4" s="5" t="inlineStr">
        <is>
          <t>1. YOUR MEMBERSHIP NUMBERS (yellow cells)</t>
        </is>
      </c>
      <c r="B4" s="4" t="n"/>
      <c r="C4" s="4" t="n"/>
      <c r="D4" s="4" t="n"/>
      <c r="E4" s="4" t="n"/>
      <c r="F4" s="4" t="n"/>
    </row>
    <row r="5">
      <c r="A5" s="11" t="inlineStr">
        <is>
          <t>Member price per month</t>
        </is>
      </c>
      <c r="B5" s="32" t="n">
        <v>22</v>
      </c>
    </row>
    <row r="6">
      <c r="A6" s="11" t="inlineStr">
        <is>
          <t>Your cost to serve one member per year</t>
        </is>
      </c>
      <c r="B6" s="13" t="n">
        <v>120</v>
      </c>
    </row>
    <row r="7">
      <c r="A7" s="11" t="inlineStr">
        <is>
          <t>Extra profit per member per year (optional)</t>
        </is>
      </c>
      <c r="B7" s="13" t="n">
        <v>150</v>
      </c>
    </row>
    <row r="8">
      <c r="A8" s="11" t="inlineStr">
        <is>
          <t>Active members today</t>
        </is>
      </c>
      <c r="B8" s="33" t="n">
        <v>300</v>
      </c>
    </row>
    <row r="9">
      <c r="A9" s="11" t="inlineStr">
        <is>
          <t>Customers in your CRM (last 3 years)</t>
        </is>
      </c>
      <c r="B9" s="33" t="n">
        <v>3000</v>
      </c>
    </row>
    <row r="11">
      <c r="A11" s="5" t="inlineStr">
        <is>
          <t>2. PULLED FROM YOUR FLOOR PLANNER</t>
        </is>
      </c>
      <c r="B11" s="4" t="n"/>
      <c r="C11" s="4" t="n"/>
      <c r="D11" s="4" t="n"/>
      <c r="E11" s="4" t="n"/>
      <c r="F11" s="4" t="n"/>
    </row>
    <row r="12">
      <c r="A12" s="11" t="inlineStr">
        <is>
          <t>Fixed overhead per month</t>
        </is>
      </c>
      <c r="B12" s="34">
        <f>'Floor Planner'!C7</f>
        <v/>
      </c>
    </row>
    <row r="13">
      <c r="A13" s="11" t="inlineStr">
        <is>
          <t>Worst month shortfall (normal year)</t>
        </is>
      </c>
      <c r="B13" s="34">
        <f>-'Floor Planner'!C24</f>
        <v/>
      </c>
    </row>
    <row r="14">
      <c r="A14" s="11" t="inlineStr">
        <is>
          <t>Worst month</t>
        </is>
      </c>
      <c r="B14" s="35">
        <f>'Floor Planner'!C23</f>
        <v/>
      </c>
    </row>
    <row r="16">
      <c r="A16" s="5" t="inlineStr">
        <is>
          <t>3. WHAT YOUR MEMBERS DO FOR YOU TODAY</t>
        </is>
      </c>
      <c r="B16" s="4" t="n"/>
      <c r="C16" s="4" t="n"/>
      <c r="D16" s="4" t="n"/>
      <c r="E16" s="4" t="n"/>
      <c r="F16" s="4" t="n"/>
    </row>
    <row r="17">
      <c r="A17" s="17" t="inlineStr">
        <is>
          <t>Profit per member per month</t>
        </is>
      </c>
      <c r="B17" s="36">
        <f>B5-B6/12+B7/12</f>
        <v/>
      </c>
    </row>
    <row r="18">
      <c r="A18" s="17" t="inlineStr">
        <is>
          <t>Monthly profit from members today</t>
        </is>
      </c>
      <c r="B18" s="37">
        <f>B8*B17</f>
        <v/>
      </c>
    </row>
    <row r="19">
      <c r="A19" s="17" t="inlineStr">
        <is>
          <t>Overhead covered before the month starts</t>
        </is>
      </c>
      <c r="B19" s="21">
        <f>IF(B12&lt;=0,0,B18/B12)</f>
        <v/>
      </c>
    </row>
    <row r="20">
      <c r="A20" s="17" t="inlineStr">
        <is>
          <t>Customers on a plan today</t>
        </is>
      </c>
      <c r="B20" s="21">
        <f>IF(B9&lt;=0,0,B8/B9)</f>
        <v/>
      </c>
    </row>
    <row r="22">
      <c r="A22" s="5" t="inlineStr">
        <is>
          <t>4. YOUR BASE LOAD TARGETS</t>
        </is>
      </c>
      <c r="B22" s="4" t="n"/>
      <c r="C22" s="4" t="n"/>
      <c r="D22" s="4" t="n"/>
      <c r="E22" s="4" t="n"/>
      <c r="F22" s="4" t="n"/>
    </row>
    <row r="23" ht="32" customHeight="1">
      <c r="A23" s="26" t="inlineStr">
        <is>
          <t>Goal</t>
        </is>
      </c>
      <c r="B23" s="26" t="inlineStr">
        <is>
          <t>Members needed</t>
        </is>
      </c>
      <c r="C23" s="26" t="inlineStr">
        <is>
          <t>More than today</t>
        </is>
      </c>
      <c r="D23" s="26" t="inlineStr">
        <is>
          <t>% of your customers</t>
        </is>
      </c>
    </row>
    <row r="24">
      <c r="A24" s="27" t="inlineStr">
        <is>
          <t>Your worst month breaks even</t>
        </is>
      </c>
      <c r="B24" s="23">
        <f>IF($B$17&lt;=0,"Raise price",$B$8+ROUNDUP($B$13/$B$17,0))</f>
        <v/>
      </c>
      <c r="C24" s="38">
        <f>IF(ISNUMBER(B24),MAX(0,B24-$B$8),"")</f>
        <v/>
      </c>
      <c r="D24" s="39">
        <f>IF(AND(ISNUMBER(B24),$B$9&gt;0),B24/$B$9,"")</f>
        <v/>
      </c>
    </row>
    <row r="25">
      <c r="A25" s="27" t="inlineStr">
        <is>
          <t>Members cover 25% of overhead</t>
        </is>
      </c>
      <c r="B25" s="23">
        <f>IF($B$17&lt;=0,"Raise price",ROUNDUP($B$12*0.25/$B$17,0))</f>
        <v/>
      </c>
      <c r="C25" s="38">
        <f>IF(ISNUMBER(B25),MAX(0,B25-$B$8),"")</f>
        <v/>
      </c>
      <c r="D25" s="39">
        <f>IF(AND(ISNUMBER(B25),$B$9&gt;0),B25/$B$9,"")</f>
        <v/>
      </c>
    </row>
    <row r="26">
      <c r="A26" s="27" t="inlineStr">
        <is>
          <t>Members cover 50% of overhead</t>
        </is>
      </c>
      <c r="B26" s="23">
        <f>IF($B$17&lt;=0,"Raise price",ROUNDUP($B$12*0.5/$B$17,0))</f>
        <v/>
      </c>
      <c r="C26" s="38">
        <f>IF(ISNUMBER(B26),MAX(0,B26-$B$8),"")</f>
        <v/>
      </c>
      <c r="D26" s="39">
        <f>IF(AND(ISNUMBER(B26),$B$9&gt;0),B26/$B$9,"")</f>
        <v/>
      </c>
    </row>
    <row r="27">
      <c r="A27" s="27" t="inlineStr">
        <is>
          <t>Members cover 100% of overhead</t>
        </is>
      </c>
      <c r="B27" s="23">
        <f>IF($B$17&lt;=0,"Raise price",ROUNDUP($B$12/$B$17,0))</f>
        <v/>
      </c>
      <c r="C27" s="38">
        <f>IF(ISNUMBER(B27),MAX(0,B27-$B$8),"")</f>
        <v/>
      </c>
      <c r="D27" s="39">
        <f>IF(AND(ISNUMBER(B27),$B$9&gt;0),B27/$B$9,"")</f>
        <v/>
      </c>
    </row>
    <row r="28">
      <c r="A28" s="10" t="inlineStr">
        <is>
          <t>Red % means you'd need more members than you have customers. Raise the price, lower the cost to serve, or grow the customer base.</t>
        </is>
      </c>
    </row>
    <row r="30" ht="34" customHeight="1">
      <c r="A30" s="40">
        <f>IF(B17&lt;=0,"Your plan loses money on every member. Fix the price first.",IF(B13&lt;=0,"Your worst month already covers overhead. Members are pure floor from here.","You need "&amp;TEXT(C24,"#,##0")&amp;" more members at "&amp;TEXT(B5,"$#,##0")&amp;"/mo so "&amp;B14&amp;" stops losing money."))</f>
        <v/>
      </c>
    </row>
    <row r="32">
      <c r="A32" s="10" t="inlineStr">
        <is>
          <t>Knowing the number is step one. Getting there takes pricing, tech scripts, a promo calendar and partners. That's what the Audit maps out.</t>
        </is>
      </c>
    </row>
  </sheetData>
  <mergeCells count="1">
    <mergeCell ref="A30:F30"/>
  </mergeCells>
  <conditionalFormatting sqref="B17">
    <cfRule type="expression" priority="1" dxfId="0">
      <formula>B17&lt;=0</formula>
    </cfRule>
  </conditionalFormatting>
  <conditionalFormatting sqref="D24:D27">
    <cfRule type="expression" priority="2" dxfId="0">
      <formula>AND(ISNUMBER(D24),D24&gt;1)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2" customWidth="1" min="2" max="2"/>
    <col width="20" customWidth="1" min="3" max="3"/>
    <col width="26" customWidth="1" min="4" max="4"/>
    <col width="4" customWidth="1" min="5" max="5"/>
  </cols>
  <sheetData>
    <row r="1" ht="28" customHeight="1">
      <c r="A1" s="1" t="inlineStr">
        <is>
          <t>Your Floor Report</t>
        </is>
      </c>
      <c r="B1" s="2" t="n"/>
      <c r="C1" s="2" t="n"/>
      <c r="D1" s="2" t="n"/>
      <c r="E1" s="2" t="n"/>
    </row>
    <row r="2">
      <c r="A2" s="3" t="inlineStr">
        <is>
          <t>Your score, what feast-or-famine costs you, and what to do about it.</t>
        </is>
      </c>
      <c r="B2" s="2" t="n"/>
      <c r="C2" s="2" t="n"/>
      <c r="D2" s="2" t="n"/>
      <c r="E2" s="2" t="n"/>
    </row>
    <row r="4">
      <c r="A4" s="5" t="inlineStr">
        <is>
          <t>1. YOUR FLOOR SCORE</t>
        </is>
      </c>
      <c r="B4" s="4" t="n"/>
      <c r="C4" s="4" t="n"/>
      <c r="D4" s="4" t="n"/>
      <c r="E4" s="4" t="n"/>
    </row>
    <row r="5" ht="32" customHeight="1">
      <c r="A5" s="26" t="inlineStr">
        <is>
          <t>What we checked</t>
        </is>
      </c>
      <c r="B5" s="26" t="inlineStr">
        <is>
          <t>Your result</t>
        </is>
      </c>
      <c r="C5" s="26" t="inlineStr">
        <is>
          <t>Points (1 to 5)</t>
        </is>
      </c>
      <c r="D5" s="26" t="inlineStr">
        <is>
          <t>How it's scored</t>
        </is>
      </c>
    </row>
    <row r="6">
      <c r="A6" s="27" t="inlineStr">
        <is>
          <t>Months that don't cover overhead (normal year)</t>
        </is>
      </c>
      <c r="B6" s="41">
        <f>'Floor Planner'!C22</f>
        <v/>
      </c>
      <c r="C6" s="42">
        <f>IF(B6=0,5,IF(B6&lt;=2,3,1))</f>
        <v/>
      </c>
      <c r="D6" s="43" t="inlineStr">
        <is>
          <t>0 months: 5 · 1 to 2: 3 · 3 or more: 1</t>
        </is>
      </c>
    </row>
    <row r="7">
      <c r="A7" s="27" t="inlineStr">
        <is>
          <t>Lowest cash point in a mild season</t>
        </is>
      </c>
      <c r="B7" s="34">
        <f>'Floor Planner'!D26</f>
        <v/>
      </c>
      <c r="C7" s="42">
        <f>IF(B7&gt;='Floor Planner'!C10,5,IF(B7&gt;=0,3,1))</f>
        <v/>
      </c>
      <c r="D7" s="43" t="inlineStr">
        <is>
          <t>Above floor: 5 · Above $0: 3 · Below $0: 1</t>
        </is>
      </c>
    </row>
    <row r="8">
      <c r="A8" s="27" t="inlineStr">
        <is>
          <t>Overhead covered by members</t>
        </is>
      </c>
      <c r="B8" s="44">
        <f>'Membership Base Load'!B19</f>
        <v/>
      </c>
      <c r="C8" s="42">
        <f>IF(B8&gt;=0.5,5,IF(B8&gt;=0.15,3,1))</f>
        <v/>
      </c>
      <c r="D8" s="43" t="inlineStr">
        <is>
          <t>50% or more: 5 · 15 to 49%: 3 · Under 15%: 1</t>
        </is>
      </c>
    </row>
    <row r="10">
      <c r="A10" s="17" t="inlineStr">
        <is>
          <t>Your Floor Score (out of 100)</t>
        </is>
      </c>
      <c r="B10" s="45">
        <f>ROUND(AVERAGE(C6:C8)*20,0)</f>
        <v/>
      </c>
      <c r="C10" s="46">
        <f>IF(B10&lt;40,"The weather runs your business.",IF(B10&lt;55,"A mild season still hurts.",IF(B10&lt;70,"The floor is forming. Not there yet.","You run it like a utility.")))</f>
        <v/>
      </c>
    </row>
    <row r="11">
      <c r="A11" s="17" t="inlineStr">
        <is>
          <t>Your label</t>
        </is>
      </c>
      <c r="B11" s="18">
        <f>IF(B10&lt;40,"Weather-Driven Job Shop",IF(B10&lt;55,"Weather-Sensitive",IF(B10&lt;70,"Emerging Floor","Revenue-Floor Utility")))</f>
        <v/>
      </c>
    </row>
    <row r="12">
      <c r="A12" s="10" t="inlineStr">
        <is>
          <t>Under 40: Weather-Driven Job Shop · 40 to 54: Weather-Sensitive · 55 to 69: Emerging Floor · 70+: Revenue-Floor Utility</t>
        </is>
      </c>
    </row>
    <row r="13">
      <c r="A13" s="5" t="inlineStr">
        <is>
          <t>2. WHAT FEAST OR FAMINE COSTS YOU</t>
        </is>
      </c>
      <c r="B13" s="4" t="n"/>
      <c r="C13" s="4" t="n"/>
      <c r="D13" s="4" t="n"/>
      <c r="E13" s="4" t="n"/>
    </row>
    <row r="14" ht="46" customHeight="1">
      <c r="A14" s="40">
        <f>IF(AND('Floor Planner'!C25=0,'Floor Planner'!D25=0),"Your months cover overhead even in a mild season. Protect that.","Your slow months are short "&amp;TEXT(-'Floor Planner'!C25,"$#,##0")&amp;" in a normal year. One mild season cuts your profit from "&amp;TEXT('Floor Planner'!C30,"$#,##0")&amp;" to "&amp;TEXT('Floor Planner'!D30,"$#,##0")&amp;IF('Floor Planner'!D27&gt;0," and puts you under your cash floor "&amp;'Floor Planner'!D27&amp;" months of the year."," and drops your lowest cash to "&amp;TEXT('Floor Planner'!D26,"$#,##0")&amp;"."))</f>
        <v/>
      </c>
    </row>
    <row r="15">
      <c r="A15" s="17" t="inlineStr">
        <is>
          <t>Best month vs slowest</t>
        </is>
      </c>
      <c r="B15" s="47">
        <f>'Floor Planner'!C17</f>
        <v/>
      </c>
    </row>
    <row r="16">
      <c r="A16" s="17" t="inlineStr">
        <is>
          <t>Revenue locked in before the month starts</t>
        </is>
      </c>
      <c r="B16" s="44">
        <f>'Floor Planner'!C18</f>
        <v/>
      </c>
      <c r="C16" s="10" t="inlineStr">
        <is>
          <t>Everything else waits on the weather.</t>
        </is>
      </c>
    </row>
    <row r="17">
      <c r="A17" s="17" t="inlineStr">
        <is>
          <t>Months below your cash floor (mild season)</t>
        </is>
      </c>
      <c r="B17" s="41">
        <f>'Floor Planner'!D27</f>
        <v/>
      </c>
    </row>
    <row r="18">
      <c r="A18" s="17" t="inlineStr">
        <is>
          <t>Lowest cash point (mild season)</t>
        </is>
      </c>
      <c r="B18" s="34">
        <f>'Floor Planner'!D26</f>
        <v/>
      </c>
    </row>
    <row r="19">
      <c r="A19" s="17" t="inlineStr">
        <is>
          <t>What one mild season costs you in profit</t>
        </is>
      </c>
      <c r="B19" s="34">
        <f>'Floor Planner'!C30-'Floor Planner'!D30</f>
        <v/>
      </c>
    </row>
    <row r="20">
      <c r="A20" s="5" t="inlineStr">
        <is>
          <t>3. THREE DECISIONS YOU CAN MAKE THIS WEEK</t>
        </is>
      </c>
      <c r="B20" s="4" t="n"/>
      <c r="C20" s="4" t="n"/>
      <c r="D20" s="4" t="n"/>
      <c r="E20" s="4" t="n"/>
    </row>
    <row r="21" ht="32" customHeight="1">
      <c r="A21" s="6" t="inlineStr">
        <is>
          <t>1. Cash</t>
        </is>
      </c>
      <c r="B21" s="17">
        <f>IF('Floor Planner'!D29&lt;=0,"Your cash covers even a mild season. Keep it there.","Set aside "&amp;TEXT('Floor Planner'!D29,"$#,##0")&amp;" before "&amp;'Floor Planner'!D28&amp;" so one mild season doesn't push you under your floor.")</f>
        <v/>
      </c>
    </row>
    <row r="22" ht="32" customHeight="1">
      <c r="A22" s="6" t="inlineStr">
        <is>
          <t>2. Members</t>
        </is>
      </c>
      <c r="B22" s="17">
        <f>'Membership Base Load'!A30</f>
        <v/>
      </c>
    </row>
    <row r="23" ht="32" customHeight="1">
      <c r="A23" s="6" t="inlineStr">
        <is>
          <t>3. Timing</t>
        </is>
      </c>
      <c r="B23" s="17">
        <f>IF('Floor Planner'!C23="None","No red months on paper. Still plan your slow-season push 60 days out.","Start your slow-season push in "&amp;INDEX('Floor Planner'!A33:A44,MOD(MATCH('Floor Planner'!C23,'Floor Planner'!A33:A44,0)-3,12)+1)&amp;", 60 days before "&amp;'Floor Planner'!C23&amp;". Not when the board is already empty.")</f>
        <v/>
      </c>
    </row>
    <row r="25">
      <c r="A25" s="5" t="inlineStr">
        <is>
          <t>4. FOUR WAYS TO FILL THE GAP</t>
        </is>
      </c>
      <c r="B25" s="4" t="n"/>
      <c r="C25" s="4" t="n"/>
      <c r="D25" s="4" t="n"/>
      <c r="E25" s="4" t="n"/>
    </row>
    <row r="26" ht="32" customHeight="1">
      <c r="A26" s="26" t="inlineStr">
        <is>
          <t>Lever</t>
        </is>
      </c>
      <c r="B26" s="26" t="inlineStr">
        <is>
          <t>What it means</t>
        </is>
      </c>
      <c r="C26" s="26" t="inlineStr">
        <is>
          <t>This kit</t>
        </is>
      </c>
      <c r="D26" s="26" t="inlineStr">
        <is>
          <t>Your number</t>
        </is>
      </c>
    </row>
    <row r="27" ht="30" customHeight="1">
      <c r="A27" s="27" t="inlineStr">
        <is>
          <t>Memberships</t>
        </is>
      </c>
      <c r="B27" s="48" t="inlineStr">
        <is>
          <t>Revenue that lands before the month starts.</t>
        </is>
      </c>
      <c r="C27" s="49" t="inlineStr">
        <is>
          <t>Calculated</t>
        </is>
      </c>
      <c r="D27" s="50">
        <f>TEXT('Membership Base Load'!B19,"0%")&amp;" of overhead covered today"</f>
        <v/>
      </c>
    </row>
    <row r="28" ht="30" customHeight="1">
      <c r="A28" s="27" t="inlineStr">
        <is>
          <t>Missed calls and after-hours</t>
        </is>
      </c>
      <c r="B28" s="48" t="inlineStr">
        <is>
          <t>Calls that go to voicemail turn into booked jobs.</t>
        </is>
      </c>
      <c r="C28" s="16" t="inlineStr">
        <is>
          <t>Audit prices this</t>
        </is>
      </c>
      <c r="D28" s="51" t="inlineStr">
        <is>
          <t>Needs your call data</t>
        </is>
      </c>
    </row>
    <row r="29" ht="30" customHeight="1">
      <c r="A29" s="27" t="inlineStr">
        <is>
          <t>Unsold estimates</t>
        </is>
      </c>
      <c r="B29" s="48" t="inlineStr">
        <is>
          <t>Follow-up on estimates that didn't close.</t>
        </is>
      </c>
      <c r="C29" s="16" t="inlineStr">
        <is>
          <t>Audit prices this</t>
        </is>
      </c>
      <c r="D29" s="51" t="inlineStr">
        <is>
          <t>Needs your CRM</t>
        </is>
      </c>
    </row>
    <row r="30" ht="30" customHeight="1">
      <c r="A30" s="27" t="inlineStr">
        <is>
          <t>Past-customer reactivation</t>
        </is>
      </c>
      <c r="B30" s="48" t="inlineStr">
        <is>
          <t>Planned promos to your customer list before slow months.</t>
        </is>
      </c>
      <c r="C30" s="16" t="inlineStr">
        <is>
          <t>Audit prices this</t>
        </is>
      </c>
      <c r="D30" s="51" t="inlineStr">
        <is>
          <t>Needs your customer list</t>
        </is>
      </c>
    </row>
    <row r="32">
      <c r="A32" s="5" t="inlineStr">
        <is>
          <t>5. WHAT THIS KIT CAN'T DO</t>
        </is>
      </c>
      <c r="B32" s="4" t="n"/>
      <c r="C32" s="4" t="n"/>
      <c r="D32" s="4" t="n"/>
      <c r="E32" s="4" t="n"/>
    </row>
    <row r="33">
      <c r="A33" s="27" t="inlineStr">
        <is>
          <t>This kit only prices the Membership lever. It does not:</t>
        </is>
      </c>
    </row>
    <row r="34">
      <c r="A34" s="52" t="inlineStr">
        <is>
          <t xml:space="preserve">  ✗  Rebuild your pricing.</t>
        </is>
      </c>
    </row>
    <row r="35">
      <c r="A35" s="52" t="inlineStr">
        <is>
          <t xml:space="preserve">  ✗  Set up your partner referral pipeline (realtors, property managers, builders).</t>
        </is>
      </c>
    </row>
    <row r="36">
      <c r="A36" s="52" t="inlineStr">
        <is>
          <t xml:space="preserve">  ✗  Fix your follow-up systems: missed calls, unsold estimates, past customers.</t>
        </is>
      </c>
    </row>
    <row r="37" ht="30" customHeight="1">
      <c r="A37" s="53" t="inlineStr">
        <is>
          <t>That is what the $297 Revenue Floor Audit is for: we check your real data and hand you a 90-day plan to fix all of it, in order.</t>
        </is>
      </c>
    </row>
    <row r="39">
      <c r="A39" s="5" t="inlineStr">
        <is>
          <t>6. YOUR NEXT STEP</t>
        </is>
      </c>
      <c r="B39" s="4" t="n"/>
      <c r="C39" s="4" t="n"/>
      <c r="D39" s="4" t="n"/>
      <c r="E39" s="4" t="n"/>
    </row>
    <row r="40" ht="46" customHeight="1">
      <c r="A40" s="54">
        <f>IF(B10&lt;40,"Floor Score "&amp;B10&amp;": you are in active feast-or-famine risk. Get the Revenue Floor Audit.",IF(B10&lt;70,"Floor Score "&amp;B10&amp;": you have progress, but one mild season still hurts. Get the Audit and we'll build your 90-day fix using this same model.","Floor Score "&amp;B10&amp;": keep tracking it every quarter. When you dip below 70, book a new Audit."))</f>
        <v/>
      </c>
    </row>
    <row r="41">
      <c r="A41" s="27" t="inlineStr">
        <is>
          <t>The Revenue Floor Audit ($297) includes:</t>
        </is>
      </c>
    </row>
    <row r="42">
      <c r="A42" s="55" t="inlineStr">
        <is>
          <t xml:space="preserve">  ✓</t>
        </is>
      </c>
      <c r="B42" s="52" t="inlineStr">
        <is>
          <t>We check your real numbers across all 3 engines: Leadflow, Follow-Up, Lifetime Value</t>
        </is>
      </c>
    </row>
    <row r="43">
      <c r="A43" s="55" t="inlineStr">
        <is>
          <t xml:space="preserve">  ✓</t>
        </is>
      </c>
      <c r="B43" s="52" t="inlineStr">
        <is>
          <t>Found Revenue Snapshot: all 4 levers priced for your shop</t>
        </is>
      </c>
    </row>
    <row r="44">
      <c r="A44" s="55" t="inlineStr">
        <is>
          <t xml:space="preserve">  ✓</t>
        </is>
      </c>
      <c r="B44" s="52" t="inlineStr">
        <is>
          <t>90-Day Revenue Floor Blueprint: 3 to 5 projects, in order, with owners</t>
        </is>
      </c>
    </row>
    <row r="45">
      <c r="A45" s="55" t="inlineStr">
        <is>
          <t xml:space="preserve">  ✓</t>
        </is>
      </c>
      <c r="B45" s="52" t="inlineStr">
        <is>
          <t>Recorded walkthrough plus a 45-minute review call</t>
        </is>
      </c>
    </row>
    <row r="46">
      <c r="A46" s="55" t="inlineStr">
        <is>
          <t xml:space="preserve">  ✓</t>
        </is>
      </c>
      <c r="B46" s="52" t="inlineStr">
        <is>
          <t>The numbers you entered here carry over. You don't start from scratch.</t>
        </is>
      </c>
    </row>
    <row r="49">
      <c r="B49" s="56" t="inlineStr">
        <is>
          <t>Get your Revenue Floor Audit: autoboss.io/fix-kit</t>
        </is>
      </c>
    </row>
    <row r="51">
      <c r="A51" s="5" t="inlineStr">
        <is>
          <t>7. YOUR FLOOR SCORE HISTORY</t>
        </is>
      </c>
      <c r="B51" s="4" t="n"/>
      <c r="C51" s="4" t="n"/>
      <c r="D51" s="4" t="n"/>
      <c r="E51" s="4" t="n"/>
    </row>
    <row r="52" ht="30" customHeight="1">
      <c r="A52" s="57" t="inlineStr">
        <is>
          <t>Re-run this kit every quarter and add your new score here. If you drop below 70 again, it's time for a new Revenue Floor Audit.</t>
        </is>
      </c>
    </row>
    <row r="53" ht="32" customHeight="1">
      <c r="A53" s="26" t="inlineStr">
        <is>
          <t>Date</t>
        </is>
      </c>
      <c r="B53" s="26" t="inlineStr">
        <is>
          <t>Floor Score</t>
        </is>
      </c>
      <c r="C53" s="26" t="inlineStr">
        <is>
          <t>Label</t>
        </is>
      </c>
      <c r="D53" s="26" t="inlineStr">
        <is>
          <t>Notes</t>
        </is>
      </c>
    </row>
    <row r="54">
      <c r="A54" s="58" t="n"/>
      <c r="B54" s="33" t="n"/>
      <c r="C54" s="29">
        <f>IF(B54="","",IF(B54&lt;40,"Weather-Driven Job Shop",IF(B54&lt;55,"Weather-Sensitive",IF(B54&lt;70,"Emerging Floor","Revenue-Floor Utility"))))</f>
        <v/>
      </c>
      <c r="D54" s="12" t="n"/>
    </row>
    <row r="55">
      <c r="A55" s="58" t="n"/>
      <c r="B55" s="33" t="n"/>
      <c r="C55" s="29">
        <f>IF(B55="","",IF(B55&lt;40,"Weather-Driven Job Shop",IF(B55&lt;55,"Weather-Sensitive",IF(B55&lt;70,"Emerging Floor","Revenue-Floor Utility"))))</f>
        <v/>
      </c>
      <c r="D55" s="12" t="n"/>
    </row>
    <row r="56">
      <c r="A56" s="58" t="n"/>
      <c r="B56" s="33" t="n"/>
      <c r="C56" s="29">
        <f>IF(B56="","",IF(B56&lt;40,"Weather-Driven Job Shop",IF(B56&lt;55,"Weather-Sensitive",IF(B56&lt;70,"Emerging Floor","Revenue-Floor Utility"))))</f>
        <v/>
      </c>
      <c r="D56" s="12" t="n"/>
    </row>
    <row r="57">
      <c r="A57" s="58" t="n"/>
      <c r="B57" s="33" t="n"/>
      <c r="C57" s="29">
        <f>IF(B57="","",IF(B57&lt;40,"Weather-Driven Job Shop",IF(B57&lt;55,"Weather-Sensitive",IF(B57&lt;70,"Emerging Floor","Revenue-Floor Utility"))))</f>
        <v/>
      </c>
      <c r="D57" s="12" t="n"/>
    </row>
    <row r="58">
      <c r="A58" s="58" t="n"/>
      <c r="B58" s="33" t="n"/>
      <c r="C58" s="29">
        <f>IF(B58="","",IF(B58&lt;40,"Weather-Driven Job Shop",IF(B58&lt;55,"Weather-Sensitive",IF(B58&lt;70,"Emerging Floor","Revenue-Floor Utility"))))</f>
        <v/>
      </c>
      <c r="D58" s="12" t="n"/>
    </row>
    <row r="59">
      <c r="A59" s="58" t="n"/>
      <c r="B59" s="33" t="n"/>
      <c r="C59" s="29">
        <f>IF(B59="","",IF(B59&lt;40,"Weather-Driven Job Shop",IF(B59&lt;55,"Weather-Sensitive",IF(B59&lt;70,"Emerging Floor","Revenue-Floor Utility"))))</f>
        <v/>
      </c>
      <c r="D59" s="12" t="n"/>
    </row>
    <row r="60">
      <c r="A60" s="58" t="n"/>
      <c r="B60" s="33" t="n"/>
      <c r="C60" s="29">
        <f>IF(B60="","",IF(B60&lt;40,"Weather-Driven Job Shop",IF(B60&lt;55,"Weather-Sensitive",IF(B60&lt;70,"Emerging Floor","Revenue-Floor Utility"))))</f>
        <v/>
      </c>
      <c r="D60" s="12" t="n"/>
    </row>
    <row r="61">
      <c r="A61" s="58" t="n"/>
      <c r="B61" s="33" t="n"/>
      <c r="C61" s="29">
        <f>IF(B61="","",IF(B61&lt;40,"Weather-Driven Job Shop",IF(B61&lt;55,"Weather-Sensitive",IF(B61&lt;70,"Emerging Floor","Revenue-Floor Utility"))))</f>
        <v/>
      </c>
      <c r="D61" s="12" t="n"/>
    </row>
    <row r="62">
      <c r="A62" s="10" t="inlineStr">
        <is>
          <t>Example: 10/01/2026 · 47 · Weather-Sensitive · First run.</t>
        </is>
      </c>
    </row>
  </sheetData>
  <mergeCells count="17">
    <mergeCell ref="B42:D42"/>
    <mergeCell ref="A37:D37"/>
    <mergeCell ref="A40:D40"/>
    <mergeCell ref="B45:D45"/>
    <mergeCell ref="C10:D11"/>
    <mergeCell ref="B23:D23"/>
    <mergeCell ref="B22:D22"/>
    <mergeCell ref="A34:D34"/>
    <mergeCell ref="A35:D35"/>
    <mergeCell ref="B46:D46"/>
    <mergeCell ref="A52:D52"/>
    <mergeCell ref="B21:D21"/>
    <mergeCell ref="A33:D33"/>
    <mergeCell ref="B43:D43"/>
    <mergeCell ref="B44:D44"/>
    <mergeCell ref="A36:D36"/>
    <mergeCell ref="A14:D14"/>
  </mergeCells>
  <conditionalFormatting sqref="B10:B11">
    <cfRule type="expression" priority="1" dxfId="0">
      <formula>$B$10&lt;40</formula>
    </cfRule>
    <cfRule type="expression" priority="2" dxfId="1">
      <formula>AND($B$10&gt;=40,$B$10&lt;70)</formula>
    </cfRule>
    <cfRule type="expression" priority="3" dxfId="2">
      <formula>$B$10&gt;=70</formula>
    </cfRule>
  </conditionalFormatting>
  <conditionalFormatting sqref="B54:C61">
    <cfRule type="expression" priority="4" dxfId="1">
      <formula>AND($B54&lt;&gt;"",$B54&lt;70)</formula>
    </cfRule>
  </conditionalFormatting>
  <hyperlinks>
    <hyperlink xmlns:r="http://schemas.openxmlformats.org/officeDocument/2006/relationships" ref="B4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2026-09-30T00:00:25Z</dcterms:created>
  <dcterms:modified xmlns:dcterms="http://purl.org/dc/terms/" xmlns:xsi="http://www.w3.org/2001/XMLSchema-instance" xsi:type="dcterms:W3CDTF">2026-09-30T00:00:25Z</dcterms:modified>
</cp:coreProperties>
</file>